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drawings/drawing4.xml" ContentType="application/vnd.openxmlformats-officedocument.drawing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1  COOPERMILA - Érika\"/>
    </mc:Choice>
  </mc:AlternateContent>
  <xr:revisionPtr revIDLastSave="0" documentId="8_{EE1D2D63-F797-4965-9522-95BEE6F600F0}" xr6:coauthVersionLast="47" xr6:coauthVersionMax="47" xr10:uidLastSave="{00000000-0000-0000-0000-000000000000}"/>
  <bookViews>
    <workbookView xWindow="-120" yWindow="-120" windowWidth="24240" windowHeight="13140" tabRatio="725" firstSheet="11" activeTab="16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CUSD" sheetId="61" r:id="rId13"/>
    <sheet name="Rede Básica + Ajuste" sheetId="82" r:id="rId14"/>
    <sheet name="Conexão " sheetId="87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2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Faturas!$AB$1:$AE$331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3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ESSERR">'Tabelas e Gráficos'!$AW$226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2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2" hidden="1">CUSD!$M$13</definedName>
    <definedName name="solver_lhs10" localSheetId="12" hidden="1">CUSD!$M$13</definedName>
    <definedName name="solver_lhs11" localSheetId="12" hidden="1">CUSD!$M$15</definedName>
    <definedName name="solver_lhs12" localSheetId="12" hidden="1">CUSD!$M$13</definedName>
    <definedName name="solver_lhs13" localSheetId="12" hidden="1">CUSD!$M$13</definedName>
    <definedName name="solver_lhs14" localSheetId="12" hidden="1">CUSD!$M$15</definedName>
    <definedName name="solver_lhs15" localSheetId="12" hidden="1">CUSD!$M$13</definedName>
    <definedName name="solver_lhs2" localSheetId="12" hidden="1">CUSD!$M$15</definedName>
    <definedName name="solver_lhs3" localSheetId="12" hidden="1">CUSD!$M$13</definedName>
    <definedName name="solver_lhs4" localSheetId="12" hidden="1">CUSD!$M$13</definedName>
    <definedName name="solver_lhs5" localSheetId="12" hidden="1">CUSD!$M$15</definedName>
    <definedName name="solver_lhs6" localSheetId="12" hidden="1">CUSD!$M$13</definedName>
    <definedName name="solver_lhs7" localSheetId="12" hidden="1">CUSD!$M$13</definedName>
    <definedName name="solver_lhs8" localSheetId="12" hidden="1">CUSD!$M$15</definedName>
    <definedName name="solver_lhs9" localSheetId="12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2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6" r:id="rId49"/>
    <pivotCache cacheId="27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6" i="89" l="1"/>
  <c r="AN205" i="89"/>
  <c r="D33" i="39"/>
  <c r="L18" i="51"/>
  <c r="L17" i="51"/>
  <c r="I68" i="58" l="1"/>
  <c r="AN195" i="89" l="1"/>
  <c r="D24" i="51"/>
  <c r="C9" i="51" s="1"/>
  <c r="F65" i="58"/>
  <c r="AN188" i="89" l="1"/>
  <c r="C64" i="58"/>
  <c r="F64" i="58" s="1"/>
  <c r="C63" i="58"/>
  <c r="F63" i="58" s="1"/>
  <c r="K53" i="58"/>
  <c r="J53" i="58"/>
  <c r="H49" i="58"/>
  <c r="D107" i="58"/>
  <c r="D105" i="58"/>
  <c r="D109" i="58" l="1"/>
  <c r="J41" i="58" s="1"/>
  <c r="B41" i="58"/>
  <c r="K31" i="39"/>
  <c r="K44" i="50"/>
  <c r="AU248" i="89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7" i="89" l="1"/>
  <c r="AU262" i="89"/>
  <c r="AU260" i="89"/>
  <c r="AU259" i="89"/>
  <c r="AU251" i="89"/>
  <c r="AU250" i="89"/>
  <c r="AU270" i="89"/>
  <c r="AU268" i="89"/>
  <c r="AU271" i="89"/>
  <c r="AU269" i="89"/>
  <c r="AU261" i="89"/>
  <c r="AU252" i="89"/>
  <c r="AU265" i="89"/>
  <c r="AU272" i="89"/>
  <c r="AU264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2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2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2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2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2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2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E39" i="143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F45" i="58"/>
  <c r="E45" i="58"/>
  <c r="F44" i="58"/>
  <c r="E44" i="58"/>
  <c r="F43" i="58"/>
  <c r="E43" i="58"/>
  <c r="K42" i="58"/>
  <c r="M6" i="58"/>
  <c r="K44" i="58" l="1"/>
  <c r="K46" i="58"/>
  <c r="L46" i="58" s="1"/>
  <c r="Q209" i="49"/>
  <c r="AU276" i="89"/>
  <c r="L6" i="58"/>
  <c r="K43" i="58"/>
  <c r="L43" i="58" s="1"/>
  <c r="K47" i="58"/>
  <c r="L47" i="58" s="1"/>
  <c r="K45" i="58"/>
  <c r="L45" i="58" s="1"/>
  <c r="L44" i="58"/>
  <c r="J48" i="58"/>
  <c r="L42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D63" i="58" l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J63" i="58" a="1"/>
  <c r="J63" i="58" s="1"/>
  <c r="I63" i="58" a="1"/>
  <c r="I63" i="58" s="1"/>
  <c r="I64" i="58" s="1"/>
  <c r="I65" i="58" s="1"/>
  <c r="D65" i="58"/>
  <c r="K63" i="58" l="1"/>
  <c r="J68" i="58"/>
  <c r="C66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7" i="78"/>
  <c r="C115" i="78"/>
  <c r="D117" i="78"/>
  <c r="D116" i="78"/>
  <c r="D119" i="78"/>
  <c r="C116" i="78"/>
  <c r="D115" i="78"/>
  <c r="D114" i="78"/>
  <c r="C114" i="78"/>
  <c r="C119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13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K34" i="39"/>
  <c r="M14" i="58" s="1"/>
  <c r="AB140" i="89" l="1"/>
  <c r="E41" i="58"/>
  <c r="Q26" i="49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G12" i="78"/>
  <c r="D11" i="78"/>
  <c r="G14" i="78"/>
  <c r="C14" i="78"/>
  <c r="C79" i="78"/>
  <c r="C81" i="78"/>
  <c r="C18" i="78"/>
  <c r="D18" i="78"/>
  <c r="C94" i="78"/>
  <c r="C95" i="78"/>
  <c r="C93" i="78"/>
  <c r="C97" i="78"/>
  <c r="G9" i="78"/>
  <c r="G8" i="78"/>
  <c r="C13" i="78"/>
  <c r="C91" i="78"/>
  <c r="D19" i="78"/>
  <c r="G10" i="78"/>
  <c r="C88" i="78"/>
  <c r="D15" i="78"/>
  <c r="C12" i="78"/>
  <c r="D16" i="78"/>
  <c r="D10" i="78"/>
  <c r="C16" i="78"/>
  <c r="C84" i="78"/>
  <c r="C92" i="78"/>
  <c r="D14" i="78"/>
  <c r="G11" i="78"/>
  <c r="D20" i="78"/>
  <c r="C87" i="78"/>
  <c r="C80" i="78"/>
  <c r="C19" i="78"/>
  <c r="D13" i="78"/>
  <c r="D12" i="78"/>
  <c r="D17" i="78"/>
  <c r="D21" i="78"/>
  <c r="D9" i="78"/>
  <c r="C83" i="78"/>
  <c r="C90" i="78"/>
  <c r="C82" i="78"/>
  <c r="G13" i="78"/>
  <c r="C20" i="78"/>
  <c r="C15" i="78"/>
  <c r="C89" i="78"/>
  <c r="C17" i="78"/>
  <c r="C11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30" i="85"/>
  <c r="C7" i="85"/>
  <c r="C161" i="85"/>
  <c r="C153" i="85"/>
  <c r="C134" i="85"/>
  <c r="C21" i="85"/>
  <c r="C155" i="85"/>
  <c r="C87" i="85"/>
  <c r="C12" i="85"/>
  <c r="C26" i="85"/>
  <c r="C105" i="85"/>
  <c r="C71" i="85"/>
  <c r="C17" i="85"/>
  <c r="C157" i="85"/>
  <c r="C123" i="85"/>
  <c r="C108" i="85"/>
  <c r="C154" i="85"/>
  <c r="C129" i="85"/>
  <c r="C20" i="85"/>
  <c r="C99" i="85"/>
  <c r="C102" i="85"/>
  <c r="C39" i="85"/>
  <c r="C132" i="85"/>
  <c r="C166" i="85"/>
  <c r="C100" i="85"/>
  <c r="C8" i="85"/>
  <c r="C101" i="85"/>
  <c r="C131" i="85"/>
  <c r="C150" i="85"/>
  <c r="C112" i="85"/>
  <c r="C144" i="85"/>
  <c r="C97" i="85"/>
  <c r="C140" i="85"/>
  <c r="C115" i="85"/>
  <c r="C13" i="85"/>
  <c r="C16" i="85"/>
  <c r="C133" i="85"/>
  <c r="C147" i="85"/>
  <c r="C10" i="85"/>
  <c r="C98" i="85"/>
  <c r="C23" i="85"/>
  <c r="C60" i="85"/>
  <c r="C103" i="85"/>
  <c r="C163" i="85"/>
  <c r="C5" i="85"/>
  <c r="C148" i="85"/>
  <c r="C18" i="85"/>
  <c r="C139" i="85"/>
  <c r="C25" i="85"/>
  <c r="C152" i="85"/>
  <c r="C162" i="85"/>
  <c r="C127" i="85"/>
  <c r="C15" i="85"/>
  <c r="C125" i="85"/>
  <c r="C95" i="85"/>
  <c r="C167" i="85"/>
  <c r="C111" i="85"/>
  <c r="C73" i="85"/>
  <c r="C164" i="85"/>
  <c r="C110" i="85"/>
  <c r="C57" i="85"/>
  <c r="C11" i="85"/>
  <c r="C46" i="85"/>
  <c r="C142" i="85"/>
  <c r="C37" i="85"/>
  <c r="C114" i="85"/>
  <c r="C151" i="85"/>
  <c r="C165" i="85"/>
  <c r="C104" i="85"/>
  <c r="C160" i="85"/>
  <c r="C24" i="85"/>
  <c r="C6" i="85"/>
  <c r="C109" i="85"/>
  <c r="C145" i="85"/>
  <c r="C146" i="85"/>
  <c r="C106" i="85"/>
  <c r="C44" i="85"/>
  <c r="C4" i="85"/>
  <c r="C138" i="85"/>
  <c r="C107" i="85"/>
  <c r="C117" i="85"/>
  <c r="C32" i="85"/>
  <c r="C113" i="85"/>
  <c r="C96" i="85"/>
  <c r="C156" i="85"/>
  <c r="C9" i="85"/>
  <c r="C3" i="85"/>
  <c r="C143" i="85"/>
  <c r="C90" i="85"/>
  <c r="C38" i="85"/>
  <c r="C137" i="85"/>
  <c r="C141" i="85"/>
  <c r="C36" i="85"/>
  <c r="C14" i="85"/>
  <c r="C149" i="85"/>
  <c r="C158" i="85"/>
  <c r="C45" i="85"/>
  <c r="C121" i="85"/>
  <c r="C77" i="85"/>
  <c r="C159" i="85"/>
  <c r="C119" i="85"/>
  <c r="C19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6" i="85"/>
  <c r="C88" i="85"/>
  <c r="C82" i="85"/>
  <c r="C70" i="85"/>
  <c r="C31" i="85"/>
  <c r="C135" i="85"/>
  <c r="C22" i="85"/>
  <c r="F31" i="58" l="1"/>
  <c r="F30" i="58"/>
  <c r="F32" i="58"/>
  <c r="F29" i="58"/>
  <c r="H28" i="58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H74" i="78"/>
  <c r="D74" i="78"/>
  <c r="P74" i="78"/>
  <c r="Q74" i="78"/>
  <c r="T74" i="78"/>
  <c r="E74" i="78"/>
  <c r="M74" i="78"/>
  <c r="O74" i="78"/>
  <c r="L74" i="78"/>
  <c r="C30" i="85"/>
  <c r="F74" i="78"/>
  <c r="N74" i="78"/>
  <c r="G74" i="78"/>
  <c r="C72" i="85"/>
  <c r="S74" i="78"/>
  <c r="K74" i="78"/>
  <c r="J74" i="78"/>
  <c r="U74" i="78"/>
  <c r="R74" i="78"/>
  <c r="I74" i="78"/>
  <c r="K30" i="39" l="1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M73" i="78"/>
  <c r="H73" i="78"/>
  <c r="Q73" i="78"/>
  <c r="L73" i="78"/>
  <c r="R73" i="78"/>
  <c r="G73" i="78"/>
  <c r="O73" i="78"/>
  <c r="N73" i="78"/>
  <c r="K73" i="78"/>
  <c r="I73" i="78"/>
  <c r="P73" i="78"/>
  <c r="T73" i="78"/>
  <c r="J73" i="78"/>
  <c r="F73" i="78"/>
  <c r="E73" i="78"/>
  <c r="D73" i="78"/>
  <c r="U73" i="78"/>
  <c r="S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D72" i="78"/>
  <c r="T72" i="78"/>
  <c r="S72" i="78"/>
  <c r="N72" i="78"/>
  <c r="M72" i="78"/>
  <c r="U72" i="78"/>
  <c r="I72" i="78"/>
  <c r="F72" i="78"/>
  <c r="O72" i="78"/>
  <c r="E72" i="78"/>
  <c r="K72" i="78"/>
  <c r="P72" i="78"/>
  <c r="H72" i="78"/>
  <c r="L72" i="78"/>
  <c r="J72" i="78"/>
  <c r="Q72" i="78"/>
  <c r="R72" i="78"/>
  <c r="G72" i="78"/>
  <c r="F82" i="58" l="1"/>
  <c r="F83" i="58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F71" i="78"/>
  <c r="U71" i="78"/>
  <c r="D71" i="78"/>
  <c r="O71" i="78"/>
  <c r="E71" i="78"/>
  <c r="S71" i="78"/>
  <c r="H71" i="78"/>
  <c r="I71" i="78"/>
  <c r="T71" i="78"/>
  <c r="R71" i="78"/>
  <c r="C55" i="85"/>
  <c r="L71" i="78"/>
  <c r="G71" i="78"/>
  <c r="Q71" i="78"/>
  <c r="P71" i="78"/>
  <c r="M71" i="78"/>
  <c r="J71" i="78"/>
  <c r="K71" i="78"/>
  <c r="N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D70" i="78"/>
  <c r="U70" i="78"/>
  <c r="T70" i="78"/>
  <c r="O70" i="78"/>
  <c r="I70" i="78"/>
  <c r="H70" i="78"/>
  <c r="Q70" i="78"/>
  <c r="G70" i="78"/>
  <c r="P70" i="78"/>
  <c r="L70" i="78"/>
  <c r="R70" i="78"/>
  <c r="F70" i="78"/>
  <c r="E70" i="78"/>
  <c r="N70" i="78"/>
  <c r="K70" i="78"/>
  <c r="S70" i="78"/>
  <c r="M70" i="78"/>
  <c r="J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D69" i="78"/>
  <c r="K69" i="78"/>
  <c r="U69" i="78"/>
  <c r="P69" i="78"/>
  <c r="L69" i="78"/>
  <c r="J69" i="78"/>
  <c r="T69" i="78"/>
  <c r="S69" i="78"/>
  <c r="O69" i="78"/>
  <c r="E69" i="78"/>
  <c r="N69" i="78"/>
  <c r="H69" i="78"/>
  <c r="R69" i="78"/>
  <c r="F69" i="78"/>
  <c r="Q69" i="78"/>
  <c r="M69" i="78"/>
  <c r="I69" i="78"/>
  <c r="G69" i="78"/>
  <c r="E26" i="50" l="1"/>
  <c r="E42" i="50"/>
  <c r="E50" i="50"/>
  <c r="E98" i="50"/>
  <c r="E27" i="50"/>
  <c r="E35" i="50"/>
  <c r="E43" i="50"/>
  <c r="E51" i="50"/>
  <c r="E99" i="50"/>
  <c r="E28" i="50"/>
  <c r="E36" i="50"/>
  <c r="E44" i="50"/>
  <c r="E92" i="50"/>
  <c r="E100" i="50"/>
  <c r="E47" i="50"/>
  <c r="E57" i="50"/>
  <c r="E37" i="50"/>
  <c r="E45" i="50"/>
  <c r="E93" i="50"/>
  <c r="E63" i="50"/>
  <c r="E95" i="50"/>
  <c r="E38" i="50"/>
  <c r="E46" i="50"/>
  <c r="E94" i="50"/>
  <c r="E39" i="50"/>
  <c r="E71" i="50"/>
  <c r="E65" i="50"/>
  <c r="E32" i="50"/>
  <c r="E40" i="50"/>
  <c r="E48" i="50"/>
  <c r="E64" i="50"/>
  <c r="E96" i="50"/>
  <c r="E17" i="50"/>
  <c r="E41" i="50"/>
  <c r="E49" i="50"/>
  <c r="E97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G68" i="78"/>
  <c r="H68" i="78"/>
  <c r="Q68" i="78"/>
  <c r="U68" i="78"/>
  <c r="I68" i="78"/>
  <c r="J68" i="78"/>
  <c r="N68" i="78"/>
  <c r="R68" i="78"/>
  <c r="O68" i="78"/>
  <c r="S68" i="78"/>
  <c r="L68" i="78"/>
  <c r="K68" i="78"/>
  <c r="M68" i="78"/>
  <c r="D68" i="78"/>
  <c r="P68" i="78"/>
  <c r="E68" i="78"/>
  <c r="F68" i="78"/>
  <c r="T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D67" i="78"/>
  <c r="G67" i="78"/>
  <c r="T67" i="78"/>
  <c r="R67" i="78"/>
  <c r="P67" i="78"/>
  <c r="J67" i="78"/>
  <c r="E67" i="78"/>
  <c r="Q67" i="78"/>
  <c r="M67" i="78"/>
  <c r="H67" i="78"/>
  <c r="I67" i="78"/>
  <c r="U67" i="78"/>
  <c r="K67" i="78"/>
  <c r="F67" i="78"/>
  <c r="L67" i="78"/>
  <c r="O67" i="78"/>
  <c r="N67" i="78"/>
  <c r="S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H66" i="78"/>
  <c r="P66" i="78"/>
  <c r="R66" i="78"/>
  <c r="M66" i="78"/>
  <c r="S66" i="78"/>
  <c r="T66" i="78"/>
  <c r="D66" i="78"/>
  <c r="Q66" i="78"/>
  <c r="G66" i="78"/>
  <c r="N66" i="78"/>
  <c r="K66" i="78"/>
  <c r="E66" i="78"/>
  <c r="O66" i="78"/>
  <c r="L66" i="78"/>
  <c r="U66" i="78"/>
  <c r="J66" i="78"/>
  <c r="I66" i="78"/>
  <c r="F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O65" i="78"/>
  <c r="E65" i="78"/>
  <c r="G65" i="78"/>
  <c r="Q65" i="78"/>
  <c r="J65" i="78"/>
  <c r="U65" i="78"/>
  <c r="L65" i="78"/>
  <c r="P65" i="78"/>
  <c r="H65" i="78"/>
  <c r="N65" i="78"/>
  <c r="R65" i="78"/>
  <c r="M65" i="78"/>
  <c r="K65" i="78"/>
  <c r="T65" i="78"/>
  <c r="S65" i="78"/>
  <c r="D65" i="78"/>
  <c r="I65" i="78"/>
  <c r="F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U64" i="78"/>
  <c r="L64" i="78"/>
  <c r="M64" i="78"/>
  <c r="J64" i="78"/>
  <c r="E64" i="78"/>
  <c r="K64" i="78"/>
  <c r="P64" i="78"/>
  <c r="Q64" i="78"/>
  <c r="G64" i="78"/>
  <c r="H64" i="78"/>
  <c r="I64" i="78"/>
  <c r="F64" i="78"/>
  <c r="R64" i="78"/>
  <c r="N64" i="78"/>
  <c r="O64" i="78"/>
  <c r="D64" i="78"/>
  <c r="S64" i="78"/>
  <c r="T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U63" i="78"/>
  <c r="E63" i="78"/>
  <c r="Q63" i="78"/>
  <c r="H63" i="78"/>
  <c r="P63" i="78"/>
  <c r="T63" i="78"/>
  <c r="F63" i="78"/>
  <c r="J63" i="78"/>
  <c r="N63" i="78"/>
  <c r="R63" i="78"/>
  <c r="I63" i="78"/>
  <c r="D63" i="78"/>
  <c r="M63" i="78"/>
  <c r="O63" i="78"/>
  <c r="K63" i="78"/>
  <c r="S63" i="78"/>
  <c r="G63" i="78"/>
  <c r="L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AW226" i="89"/>
  <c r="AY226" i="89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Q34" i="25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7" i="89" l="1"/>
  <c r="C55" i="64" s="1"/>
  <c r="E29" i="50"/>
  <c r="AN179" i="89"/>
  <c r="C57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AU255" i="89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F39" i="143" l="1"/>
  <c r="E18" i="50"/>
  <c r="F16" i="143"/>
  <c r="E19" i="50"/>
  <c r="AN170" i="89"/>
  <c r="AO170" i="89" s="1"/>
  <c r="E23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AU246" i="89" l="1"/>
  <c r="C48" i="64"/>
  <c r="F15" i="143"/>
  <c r="E16" i="50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K41" i="58" s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E34" i="50" l="1"/>
  <c r="AN181" i="89"/>
  <c r="AU258" i="89"/>
  <c r="Q172" i="49"/>
  <c r="P172" i="49" s="1"/>
  <c r="F7" i="123"/>
  <c r="Q11" i="58"/>
  <c r="Q13" i="58" s="1"/>
  <c r="N13" i="58"/>
  <c r="Q37" i="49" s="1"/>
  <c r="P37" i="49" s="1"/>
  <c r="C59" i="64" l="1"/>
  <c r="AU257" i="89"/>
  <c r="AO182" i="89"/>
  <c r="C60" i="64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D90" i="50"/>
  <c r="E90" i="50" s="1"/>
  <c r="D12" i="50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C22" i="58" s="1"/>
  <c r="AA143" i="89"/>
  <c r="E77" i="50" l="1"/>
  <c r="AN202" i="89"/>
  <c r="E66" i="50"/>
  <c r="AN199" i="89"/>
  <c r="AU275" i="89" s="1"/>
  <c r="Q150" i="49"/>
  <c r="P150" i="49" s="1"/>
  <c r="E12" i="50"/>
  <c r="Q151" i="49"/>
  <c r="P151" i="49" s="1"/>
  <c r="E13" i="50"/>
  <c r="Q215" i="49"/>
  <c r="P215" i="49" s="1"/>
  <c r="Q217" i="49"/>
  <c r="P217" i="49" s="1"/>
  <c r="Q219" i="49"/>
  <c r="P219" i="49" s="1"/>
  <c r="Q218" i="49"/>
  <c r="P218" i="49" s="1"/>
  <c r="Q226" i="49"/>
  <c r="P226" i="49" s="1"/>
  <c r="Q216" i="49"/>
  <c r="P216" i="49" s="1"/>
  <c r="Q205" i="49"/>
  <c r="P205" i="49" s="1"/>
  <c r="D7" i="50"/>
  <c r="D5" i="50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O202" i="89" l="1"/>
  <c r="C80" i="64"/>
  <c r="D80" i="64" s="1"/>
  <c r="E80" i="64" s="1"/>
  <c r="AU278" i="89"/>
  <c r="AN208" i="89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E23" i="58" l="1"/>
  <c r="F23" i="58" s="1"/>
  <c r="Q43" i="49" s="1"/>
  <c r="P43" i="49" s="1"/>
  <c r="AU284" i="89"/>
  <c r="C44" i="64"/>
  <c r="D44" i="64" s="1"/>
  <c r="D45" i="64"/>
  <c r="E45" i="64" s="1"/>
  <c r="AW243" i="89"/>
  <c r="AW284" i="89" s="1"/>
  <c r="AA144" i="89"/>
  <c r="AC141" i="89"/>
  <c r="AC144" i="89" s="1"/>
  <c r="AD141" i="89"/>
  <c r="L13" i="51"/>
  <c r="L14" i="51" s="1"/>
  <c r="C6" i="51" s="1"/>
  <c r="Q45" i="49"/>
  <c r="P45" i="49" s="1"/>
  <c r="L12" i="89"/>
  <c r="E24" i="58" l="1"/>
  <c r="D14" i="58" s="1"/>
  <c r="D15" i="58" s="1"/>
  <c r="F24" i="58"/>
  <c r="M73" i="39" s="1"/>
  <c r="AY243" i="89"/>
  <c r="C13" i="51"/>
  <c r="O7" i="51"/>
  <c r="D17" i="64"/>
  <c r="E11" i="143" s="1"/>
  <c r="AB144" i="89"/>
  <c r="E33" i="143" l="1"/>
  <c r="E52" i="143"/>
  <c r="E34" i="143"/>
  <c r="Q40" i="49"/>
  <c r="P40" i="49" s="1"/>
  <c r="E32" i="143"/>
  <c r="E44" i="143"/>
  <c r="L73" i="39"/>
  <c r="D46" i="71" s="1"/>
  <c r="D33" i="64"/>
  <c r="F33" i="64" s="1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Q13" i="49"/>
  <c r="P13" i="49" s="1"/>
  <c r="N103" i="89"/>
  <c r="E17" i="64"/>
  <c r="F17" i="64"/>
  <c r="H42" i="39" s="1"/>
  <c r="AU222" i="89"/>
  <c r="D14" i="64"/>
  <c r="F44" i="143" l="1"/>
  <c r="F52" i="143"/>
  <c r="D47" i="71"/>
  <c r="F32" i="143"/>
  <c r="F34" i="143"/>
  <c r="D42" i="71"/>
  <c r="D53" i="71"/>
  <c r="D50" i="71"/>
  <c r="D41" i="71"/>
  <c r="D49" i="71"/>
  <c r="D52" i="71"/>
  <c r="D48" i="71"/>
  <c r="D55" i="71"/>
  <c r="D51" i="71"/>
  <c r="D54" i="71"/>
  <c r="E33" i="64"/>
  <c r="L10" i="89" s="1"/>
  <c r="D44" i="71"/>
  <c r="D45" i="71"/>
  <c r="D43" i="71"/>
  <c r="D34" i="64"/>
  <c r="AU231" i="89"/>
  <c r="AV231" i="89" s="1"/>
  <c r="O9" i="51"/>
  <c r="O11" i="51" s="1"/>
  <c r="F33" i="143"/>
  <c r="AE16" i="89"/>
  <c r="AO192" i="89"/>
  <c r="AY265" i="89"/>
  <c r="AO190" i="89"/>
  <c r="E60" i="143"/>
  <c r="G49" i="143"/>
  <c r="G54" i="143" s="1"/>
  <c r="O103" i="89"/>
  <c r="N111" i="89"/>
  <c r="AU219" i="89"/>
  <c r="AV222" i="89"/>
  <c r="AW222" i="89"/>
  <c r="Q91" i="49"/>
  <c r="P91" i="49" s="1"/>
  <c r="E14" i="64"/>
  <c r="L8" i="89" s="1"/>
  <c r="F14" i="64"/>
  <c r="AG16" i="89"/>
  <c r="E34" i="64" l="1"/>
  <c r="AU230" i="89"/>
  <c r="AU237" i="89" s="1"/>
  <c r="AW231" i="89"/>
  <c r="AW230" i="89" s="1"/>
  <c r="J73" i="39"/>
  <c r="C5" i="64"/>
  <c r="E57" i="143" s="1"/>
  <c r="F34" i="64"/>
  <c r="Q89" i="49"/>
  <c r="P89" i="49" s="1"/>
  <c r="G26" i="143"/>
  <c r="AW219" i="89"/>
  <c r="AY222" i="89"/>
  <c r="AV219" i="89"/>
  <c r="U11" i="89"/>
  <c r="AX219" i="89" l="1"/>
  <c r="AX225" i="89"/>
  <c r="AV230" i="89"/>
  <c r="U9" i="89"/>
  <c r="U15" i="89" s="1"/>
  <c r="T9" i="89" s="1"/>
  <c r="AU238" i="89"/>
  <c r="AV238" i="89" s="1"/>
  <c r="AY231" i="89"/>
  <c r="Q93" i="49"/>
  <c r="P93" i="49" s="1"/>
  <c r="C52" i="89"/>
  <c r="C54" i="89" s="1"/>
  <c r="C7" i="64"/>
  <c r="H1" i="137" s="1"/>
  <c r="AY230" i="89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AW240" i="89" l="1"/>
  <c r="AX238" i="89"/>
  <c r="AW238" i="89"/>
  <c r="AY238" i="89" s="1"/>
  <c r="G1" i="58"/>
  <c r="H1" i="87"/>
  <c r="I1" i="51"/>
  <c r="H1" i="78"/>
  <c r="Q6" i="49"/>
  <c r="P6" i="49" s="1"/>
  <c r="G1" i="142"/>
  <c r="H1" i="25"/>
  <c r="H1" i="61"/>
  <c r="F1" i="71"/>
  <c r="H1" i="82"/>
  <c r="K1" i="50"/>
  <c r="T11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573" i="85"/>
  <c r="C1123" i="85"/>
  <c r="C1085" i="85"/>
  <c r="C1273" i="85"/>
  <c r="C79" i="85"/>
  <c r="C682" i="85"/>
  <c r="C524" i="85"/>
  <c r="C1494" i="85"/>
  <c r="C820" i="85"/>
  <c r="C301" i="85"/>
  <c r="C248" i="85"/>
  <c r="C596" i="85"/>
  <c r="C1648" i="85"/>
  <c r="C217" i="85"/>
  <c r="C697" i="85"/>
  <c r="C1393" i="85"/>
  <c r="C1586" i="85"/>
  <c r="C902" i="85"/>
  <c r="C1004" i="85"/>
  <c r="C229" i="85"/>
  <c r="C547" i="85"/>
  <c r="C889" i="85"/>
  <c r="C1737" i="85"/>
  <c r="C1078" i="85"/>
  <c r="C1326" i="85"/>
  <c r="C606" i="85"/>
  <c r="C827" i="85"/>
  <c r="C923" i="85"/>
  <c r="C701" i="85"/>
  <c r="C118" i="85"/>
  <c r="C1376" i="85"/>
  <c r="C848" i="85"/>
  <c r="C1917" i="85"/>
  <c r="C1506" i="85"/>
  <c r="C1266" i="85"/>
  <c r="C1934" i="85"/>
  <c r="C891" i="85"/>
  <c r="C1211" i="85"/>
  <c r="C237" i="85"/>
  <c r="C993" i="85"/>
  <c r="C1071" i="85"/>
  <c r="C1568" i="85"/>
  <c r="C803" i="85"/>
  <c r="C528" i="85"/>
  <c r="C1695" i="85"/>
  <c r="C1432" i="85"/>
  <c r="C776" i="85"/>
  <c r="C202" i="85"/>
  <c r="C911" i="85"/>
  <c r="C1269" i="85"/>
  <c r="C761" i="85"/>
  <c r="C1996" i="85"/>
  <c r="C415" i="85"/>
  <c r="C557" i="85"/>
  <c r="C93" i="85"/>
  <c r="C861" i="85"/>
  <c r="C1351" i="85"/>
  <c r="C471" i="85"/>
  <c r="C1026" i="85"/>
  <c r="C916" i="85"/>
  <c r="C1044" i="85"/>
  <c r="C186" i="85"/>
  <c r="C807" i="85"/>
  <c r="C1841" i="85"/>
  <c r="C1693" i="85"/>
  <c r="C822" i="85"/>
  <c r="C1414" i="85"/>
  <c r="C1001" i="85"/>
  <c r="C1898" i="85"/>
  <c r="C1717" i="85"/>
  <c r="C1041" i="85"/>
  <c r="C1304" i="85"/>
  <c r="C680" i="85"/>
  <c r="C1275" i="85"/>
  <c r="C958" i="85"/>
  <c r="C1141" i="85"/>
  <c r="C717" i="85"/>
  <c r="C74" i="85"/>
  <c r="C732" i="85"/>
  <c r="C59" i="85"/>
  <c r="C120" i="85"/>
  <c r="C392" i="85"/>
  <c r="C1006" i="85"/>
  <c r="C515" i="85"/>
  <c r="C75" i="85"/>
  <c r="C310" i="85"/>
  <c r="C1100" i="85"/>
  <c r="C1649" i="85"/>
  <c r="C657" i="85"/>
  <c r="C901" i="85"/>
  <c r="C238" i="85"/>
  <c r="C1512" i="85"/>
  <c r="C1955" i="85"/>
  <c r="C484" i="85"/>
  <c r="C1433" i="85"/>
  <c r="C1105" i="85"/>
  <c r="C899" i="85"/>
  <c r="C1708" i="85"/>
  <c r="C988" i="85"/>
  <c r="C1869" i="85"/>
  <c r="C305" i="85"/>
  <c r="C972" i="85"/>
  <c r="C1786" i="85"/>
  <c r="C1981" i="85"/>
  <c r="C782" i="85"/>
  <c r="C1971" i="85"/>
  <c r="C1127" i="85"/>
  <c r="C872" i="85"/>
  <c r="C335" i="85"/>
  <c r="C1750" i="85"/>
  <c r="C270" i="85"/>
  <c r="C1523" i="85"/>
  <c r="C1485" i="85"/>
  <c r="C242" i="85"/>
  <c r="C1740" i="85"/>
  <c r="C1370" i="85"/>
  <c r="C1901" i="85"/>
  <c r="C710" i="85"/>
  <c r="C396" i="85"/>
  <c r="C499" i="85"/>
  <c r="C1454" i="85"/>
  <c r="C666" i="85"/>
  <c r="C1329" i="85"/>
  <c r="C357" i="85"/>
  <c r="C904" i="85"/>
  <c r="C425" i="85"/>
  <c r="C1829" i="85"/>
  <c r="C1881" i="85"/>
  <c r="C1559" i="85"/>
  <c r="C1541" i="85"/>
  <c r="C699" i="85"/>
  <c r="C831" i="85"/>
  <c r="C809" i="85"/>
  <c r="C1156" i="85"/>
  <c r="C1125" i="85"/>
  <c r="C1921" i="85"/>
  <c r="C1143" i="85"/>
  <c r="C390" i="85"/>
  <c r="C543" i="85"/>
  <c r="C1362" i="85"/>
  <c r="C1701" i="85"/>
  <c r="C898" i="85"/>
  <c r="C932" i="85"/>
  <c r="C1052" i="85"/>
  <c r="C1553" i="85"/>
  <c r="C554" i="85"/>
  <c r="C981" i="85"/>
  <c r="C1879" i="85"/>
  <c r="C751" i="85"/>
  <c r="C1178" i="85"/>
  <c r="C1312" i="85"/>
  <c r="C837" i="85"/>
  <c r="C647" i="85"/>
  <c r="C1093" i="85"/>
  <c r="C1325" i="85"/>
  <c r="C1544" i="85"/>
  <c r="C1535" i="85"/>
  <c r="C1844" i="85"/>
  <c r="C1108" i="85"/>
  <c r="C1537" i="85"/>
  <c r="C545" i="85"/>
  <c r="C1620" i="85"/>
  <c r="C712" i="85"/>
  <c r="C375" i="85"/>
  <c r="C190" i="85"/>
  <c r="C1448" i="85"/>
  <c r="C295" i="85"/>
  <c r="C730" i="85"/>
  <c r="C1617" i="85"/>
  <c r="C909" i="85"/>
  <c r="C1242" i="85"/>
  <c r="C926" i="85"/>
  <c r="C880" i="85"/>
  <c r="C1672" i="85"/>
  <c r="C458" i="85"/>
  <c r="C998" i="85"/>
  <c r="C450" i="85"/>
  <c r="C869" i="85"/>
  <c r="C1616" i="85"/>
  <c r="C1358" i="85"/>
  <c r="C934" i="85"/>
  <c r="C1549" i="85"/>
  <c r="C744" i="85"/>
  <c r="C262" i="85"/>
  <c r="C1289" i="85"/>
  <c r="C825" i="85"/>
  <c r="C67" i="85"/>
  <c r="C1021" i="85"/>
  <c r="C64" i="85"/>
  <c r="C1625" i="85"/>
  <c r="C1165" i="85"/>
  <c r="C377" i="85"/>
  <c r="C685" i="85"/>
  <c r="C1465" i="85"/>
  <c r="C1010" i="85"/>
  <c r="C1276" i="85"/>
  <c r="C762" i="85"/>
  <c r="C1730" i="85"/>
  <c r="C1587" i="85"/>
  <c r="C1805" i="85"/>
  <c r="C1810" i="85"/>
  <c r="C1604" i="85"/>
  <c r="C948" i="85"/>
  <c r="C482" i="85"/>
  <c r="C521" i="85"/>
  <c r="C1626" i="85"/>
  <c r="C461" i="85"/>
  <c r="C1676" i="85"/>
  <c r="C763" i="85"/>
  <c r="C80" i="85"/>
  <c r="C648" i="85"/>
  <c r="C371" i="85"/>
  <c r="C185" i="85"/>
  <c r="C1843" i="85"/>
  <c r="C1820" i="85"/>
  <c r="C1531" i="85"/>
  <c r="C1690" i="85"/>
  <c r="C1024" i="85"/>
  <c r="C540" i="85"/>
  <c r="C382" i="85"/>
  <c r="C1806" i="85"/>
  <c r="C983" i="85"/>
  <c r="C1501" i="85"/>
  <c r="C1784" i="85"/>
  <c r="C874" i="85"/>
  <c r="C622" i="85"/>
  <c r="C370" i="85"/>
  <c r="C1181" i="85"/>
  <c r="C1331" i="85"/>
  <c r="C1885" i="85"/>
  <c r="C168" i="85"/>
  <c r="C558" i="85"/>
  <c r="C1992" i="85"/>
  <c r="C739" i="85"/>
  <c r="C629" i="85"/>
  <c r="C1449" i="85"/>
  <c r="C1699" i="85"/>
  <c r="C448" i="85"/>
  <c r="C1563" i="85"/>
  <c r="C982" i="85"/>
  <c r="C423" i="85"/>
  <c r="C1440" i="85"/>
  <c r="C1623" i="85"/>
  <c r="C1816" i="85"/>
  <c r="C1438" i="85"/>
  <c r="C1467" i="85"/>
  <c r="C633" i="85"/>
  <c r="C1390" i="85"/>
  <c r="C1852" i="85"/>
  <c r="C498" i="85"/>
  <c r="C1199" i="85"/>
  <c r="C910" i="85"/>
  <c r="C1680" i="85"/>
  <c r="C673" i="85"/>
  <c r="C849" i="85"/>
  <c r="C705" i="85"/>
  <c r="C833" i="85"/>
  <c r="C1195" i="85"/>
  <c r="C1469" i="85"/>
  <c r="C877" i="85"/>
  <c r="C184" i="85"/>
  <c r="C1965" i="85"/>
  <c r="C51" i="85"/>
  <c r="C1823" i="85"/>
  <c r="C1894" i="85"/>
  <c r="C1803" i="85"/>
  <c r="C1900" i="85"/>
  <c r="C475" i="85"/>
  <c r="C1989" i="85"/>
  <c r="C1874" i="85"/>
  <c r="C1180" i="85"/>
  <c r="C1047" i="85"/>
  <c r="C251" i="85"/>
  <c r="C1466" i="85"/>
  <c r="C1714" i="85"/>
  <c r="C908" i="85"/>
  <c r="C1053" i="85"/>
  <c r="C1207" i="85"/>
  <c r="C692" i="85"/>
  <c r="C1618" i="85"/>
  <c r="C1528" i="85"/>
  <c r="C1988" i="85"/>
  <c r="C1445" i="85"/>
  <c r="C1227" i="85"/>
  <c r="C917" i="85"/>
  <c r="C1419" i="85"/>
  <c r="C965" i="85"/>
  <c r="C1343" i="85"/>
  <c r="C928" i="85"/>
  <c r="C326" i="85"/>
  <c r="C1916" i="85"/>
  <c r="C281" i="85"/>
  <c r="C194" i="85"/>
  <c r="C518" i="85"/>
  <c r="C1891" i="85"/>
  <c r="C1294" i="85"/>
  <c r="C1760" i="85"/>
  <c r="C1589" i="85"/>
  <c r="C689" i="85"/>
  <c r="C641" i="85"/>
  <c r="C1556" i="85"/>
  <c r="C592" i="85"/>
  <c r="C914" i="85"/>
  <c r="C1283" i="85"/>
  <c r="C198" i="85"/>
  <c r="C483" i="85"/>
  <c r="C593" i="85"/>
  <c r="C1014" i="85"/>
  <c r="C1430" i="85"/>
  <c r="C54" i="85"/>
  <c r="C756" i="85"/>
  <c r="C280" i="85"/>
  <c r="C1725" i="85"/>
  <c r="C228" i="85"/>
  <c r="C691" i="85"/>
  <c r="C1210" i="85"/>
  <c r="C1308" i="85"/>
  <c r="C224" i="85"/>
  <c r="C1080" i="85"/>
  <c r="C1694" i="85"/>
  <c r="C1425" i="85"/>
  <c r="C532" i="85"/>
  <c r="C1607" i="85"/>
  <c r="C552" i="85"/>
  <c r="C1109" i="85"/>
  <c r="C835" i="85"/>
  <c r="C409" i="85"/>
  <c r="C960" i="85"/>
  <c r="C1903" i="85"/>
  <c r="C1323" i="85"/>
  <c r="C865" i="85"/>
  <c r="C1909" i="85"/>
  <c r="C879" i="85"/>
  <c r="C1439" i="85"/>
  <c r="C200" i="85"/>
  <c r="C1025" i="85"/>
  <c r="C1184" i="85"/>
  <c r="C1842" i="85"/>
  <c r="C1035" i="85"/>
  <c r="C169" i="85"/>
  <c r="C1789" i="85"/>
  <c r="C234" i="85"/>
  <c r="C1749" i="85"/>
  <c r="C50" i="85"/>
  <c r="C569" i="85"/>
  <c r="C1476" i="85"/>
  <c r="C1959" i="85"/>
  <c r="C1888" i="85"/>
  <c r="C318" i="85"/>
  <c r="C1520" i="85"/>
  <c r="C1669" i="85"/>
  <c r="C1133" i="85"/>
  <c r="C1762" i="85"/>
  <c r="C850" i="85"/>
  <c r="C591" i="85"/>
  <c r="C1966" i="85"/>
  <c r="C1497" i="85"/>
  <c r="C1902" i="85"/>
  <c r="C567" i="85"/>
  <c r="C404" i="85"/>
  <c r="C1850" i="85"/>
  <c r="C1235" i="85"/>
  <c r="C432" i="85"/>
  <c r="C1651" i="85"/>
  <c r="C787" i="85"/>
  <c r="C1736" i="85"/>
  <c r="C1779" i="85"/>
  <c r="C870" i="85"/>
  <c r="C81" i="85"/>
  <c r="C1899" i="85"/>
  <c r="C1627" i="85"/>
  <c r="C1209" i="85"/>
  <c r="C1315" i="85"/>
  <c r="C1621" i="85"/>
  <c r="C505" i="85"/>
  <c r="C1049" i="85"/>
  <c r="C1671" i="85"/>
  <c r="C868" i="85"/>
  <c r="C1682" i="85"/>
  <c r="C1327" i="85"/>
  <c r="C469" i="85"/>
  <c r="C1407" i="85"/>
  <c r="C489" i="85"/>
  <c r="C1066" i="85"/>
  <c r="C781" i="85"/>
  <c r="C1668" i="85"/>
  <c r="C1221" i="85"/>
  <c r="C1677" i="85"/>
  <c r="C265" i="85"/>
  <c r="C684" i="85"/>
  <c r="C1106" i="85"/>
  <c r="C1212" i="85"/>
  <c r="C1446" i="85"/>
  <c r="C1363" i="85"/>
  <c r="C244" i="85"/>
  <c r="C1495" i="85"/>
  <c r="C35" i="85"/>
  <c r="C1655" i="85"/>
  <c r="C1596" i="85"/>
  <c r="C263" i="85"/>
  <c r="C1991" i="85"/>
  <c r="C612" i="85"/>
  <c r="C124" i="85"/>
  <c r="C1516" i="85"/>
  <c r="C574" i="85"/>
  <c r="C722" i="85"/>
  <c r="C1007" i="85"/>
  <c r="C1782" i="85"/>
  <c r="C1359" i="85"/>
  <c r="C1018" i="85"/>
  <c r="C478" i="85"/>
  <c r="C1791" i="85"/>
  <c r="C1937" i="85"/>
  <c r="C621" i="85"/>
  <c r="C838" i="85"/>
  <c r="C1478" i="85"/>
  <c r="C1703" i="85"/>
  <c r="C1970" i="85"/>
  <c r="C1267" i="85"/>
  <c r="C550" i="85"/>
  <c r="C41" i="85"/>
  <c r="C580" i="85"/>
  <c r="C1948" i="85"/>
  <c r="C1190" i="85"/>
  <c r="C855" i="85"/>
  <c r="C644" i="85"/>
  <c r="C216" i="85"/>
  <c r="C1759" i="85"/>
  <c r="C503" i="85"/>
  <c r="C995" i="85"/>
  <c r="C1532" i="85"/>
  <c r="C780" i="85"/>
  <c r="C760" i="85"/>
  <c r="C1792" i="85"/>
  <c r="C1060" i="85"/>
  <c r="C768" i="85"/>
  <c r="C828" i="85"/>
  <c r="C1311" i="85"/>
  <c r="C1342" i="85"/>
  <c r="C1462" i="85"/>
  <c r="C1387" i="85"/>
  <c r="C1812" i="85"/>
  <c r="C1683" i="85"/>
  <c r="C1408" i="85"/>
  <c r="C1785" i="85"/>
  <c r="C1278" i="85"/>
  <c r="C360" i="85"/>
  <c r="C1089" i="85"/>
  <c r="C727" i="85"/>
  <c r="C646" i="85"/>
  <c r="C1392" i="85"/>
  <c r="C635" i="85"/>
  <c r="C1945" i="85"/>
  <c r="C1818" i="85"/>
  <c r="C1878" i="85"/>
  <c r="C491" i="85"/>
  <c r="C1477" i="85"/>
  <c r="C233" i="85"/>
  <c r="C294" i="85"/>
  <c r="C126" i="85"/>
  <c r="C1137" i="85"/>
  <c r="C1222" i="85"/>
  <c r="C933" i="85"/>
  <c r="C523" i="85"/>
  <c r="C597" i="85"/>
  <c r="C1579" i="85"/>
  <c r="C92" i="85"/>
  <c r="C563" i="85"/>
  <c r="C1983" i="85"/>
  <c r="C544" i="85"/>
  <c r="C1802" i="85"/>
  <c r="C652" i="85"/>
  <c r="C1926" i="85"/>
  <c r="C1640" i="85"/>
  <c r="C213" i="85"/>
  <c r="C253" i="85"/>
  <c r="C527" i="85"/>
  <c r="C1796" i="85"/>
  <c r="C529" i="85"/>
  <c r="C719" i="85"/>
  <c r="C1698" i="85"/>
  <c r="C1246" i="85"/>
  <c r="C834" i="85"/>
  <c r="C303" i="85"/>
  <c r="C319" i="85"/>
  <c r="C931" i="85"/>
  <c r="C578" i="85"/>
  <c r="C1546" i="85"/>
  <c r="C331" i="85"/>
  <c r="C1164" i="85"/>
  <c r="C1374" i="85"/>
  <c r="C1931" i="85"/>
  <c r="C728" i="85"/>
  <c r="C1712" i="85"/>
  <c r="C1912" i="85"/>
  <c r="C1336" i="85"/>
  <c r="C990" i="85"/>
  <c r="C867" i="85"/>
  <c r="C740" i="85"/>
  <c r="C675" i="85"/>
  <c r="C1539" i="85"/>
  <c r="C309" i="85"/>
  <c r="C1150" i="85"/>
  <c r="C1593" i="85"/>
  <c r="C388" i="85"/>
  <c r="C896" i="85"/>
  <c r="C1069" i="85"/>
  <c r="C897" i="85"/>
  <c r="C883" i="85"/>
  <c r="C665" i="85"/>
  <c r="C1778" i="85"/>
  <c r="C1488" i="85"/>
  <c r="C1525" i="85"/>
  <c r="C427" i="85"/>
  <c r="C509" i="85"/>
  <c r="C1831" i="85"/>
  <c r="C1416" i="85"/>
  <c r="C58" i="85"/>
  <c r="C1132" i="85"/>
  <c r="C1163" i="85"/>
  <c r="C506" i="85"/>
  <c r="C624" i="85"/>
  <c r="C1424" i="85"/>
  <c r="C755" i="85"/>
  <c r="C587" i="85"/>
  <c r="C1783" i="85"/>
  <c r="C1923" i="85"/>
  <c r="C1932" i="85"/>
  <c r="C900" i="85"/>
  <c r="C1233" i="85"/>
  <c r="C1389" i="85"/>
  <c r="C85" i="85"/>
  <c r="C361" i="85"/>
  <c r="C1063" i="85"/>
  <c r="C535" i="85"/>
  <c r="C949" i="85"/>
  <c r="C389" i="85"/>
  <c r="C1146" i="85"/>
  <c r="C1837" i="85"/>
  <c r="C813" i="85"/>
  <c r="C1016" i="85"/>
  <c r="C1081" i="85"/>
  <c r="C472" i="85"/>
  <c r="C512" i="85"/>
  <c r="C271" i="85"/>
  <c r="C1128" i="85"/>
  <c r="C1807" i="85"/>
  <c r="C1846" i="85"/>
  <c r="C1261" i="85"/>
  <c r="C284" i="85"/>
  <c r="C1614" i="85"/>
  <c r="C378" i="85"/>
  <c r="C1474" i="85"/>
  <c r="C1522" i="85"/>
  <c r="C1734" i="85"/>
  <c r="C1594" i="85"/>
  <c r="C1757" i="85"/>
  <c r="C1151" i="85"/>
  <c r="C598" i="85"/>
  <c r="C937" i="85"/>
  <c r="C1741" i="85"/>
  <c r="C564" i="85"/>
  <c r="C1468" i="85"/>
  <c r="C1487" i="85"/>
  <c r="C1303" i="85"/>
  <c r="C729" i="85"/>
  <c r="C1840" i="85"/>
  <c r="C1009" i="85"/>
  <c r="C1388" i="85"/>
  <c r="C192" i="85"/>
  <c r="C1410" i="85"/>
  <c r="C285" i="85"/>
  <c r="C1827" i="85"/>
  <c r="C1157" i="85"/>
  <c r="C1709" i="85"/>
  <c r="C1404" i="85"/>
  <c r="C862" i="85"/>
  <c r="C1090" i="85"/>
  <c r="C342" i="85"/>
  <c r="C1385" i="85"/>
  <c r="C1265" i="85"/>
  <c r="C1072" i="85"/>
  <c r="C477" i="85"/>
  <c r="C1030" i="85"/>
  <c r="C1302" i="85"/>
  <c r="C640" i="85"/>
  <c r="C1216" i="85"/>
  <c r="C1738" i="85"/>
  <c r="C1121" i="85"/>
  <c r="C1856" i="85"/>
  <c r="C784" i="85"/>
  <c r="C821" i="85"/>
  <c r="C1153" i="85"/>
  <c r="C1396" i="85"/>
  <c r="C1907" i="85"/>
  <c r="C852" i="85"/>
  <c r="C1813" i="85"/>
  <c r="C302" i="85"/>
  <c r="C775" i="85"/>
  <c r="C174" i="85"/>
  <c r="C1083" i="85"/>
  <c r="C410" i="85"/>
  <c r="C61" i="85"/>
  <c r="C1206" i="85"/>
  <c r="C664" i="85"/>
  <c r="C575" i="85"/>
  <c r="C1444" i="85"/>
  <c r="C687" i="85"/>
  <c r="C918" i="85"/>
  <c r="C766" i="85"/>
  <c r="C1065" i="85"/>
  <c r="C1201" i="85"/>
  <c r="C806" i="85"/>
  <c r="C1185" i="85"/>
  <c r="C1503" i="85"/>
  <c r="C964" i="85"/>
  <c r="C588" i="85"/>
  <c r="C1605" i="85"/>
  <c r="C653" i="85"/>
  <c r="C1380" i="85"/>
  <c r="C832" i="85"/>
  <c r="C713" i="85"/>
  <c r="C433" i="85"/>
  <c r="C1317" i="85"/>
  <c r="C785" i="85"/>
  <c r="C1880" i="85"/>
  <c r="C1656" i="85"/>
  <c r="C1264" i="85"/>
  <c r="C362" i="85"/>
  <c r="C1914" i="85"/>
  <c r="C817" i="85"/>
  <c r="C1031" i="85"/>
  <c r="C625" i="85"/>
  <c r="C1182" i="85"/>
  <c r="C778" i="85"/>
  <c r="C746" i="85"/>
  <c r="C286" i="85"/>
  <c r="C698" i="85"/>
  <c r="C1545" i="85"/>
  <c r="C435" i="85"/>
  <c r="C572" i="85"/>
  <c r="C668" i="85"/>
  <c r="C1906" i="85"/>
  <c r="C605" i="85"/>
  <c r="C921" i="85"/>
  <c r="C659" i="85"/>
  <c r="C1225" i="85"/>
  <c r="C452" i="85"/>
  <c r="C1357" i="85"/>
  <c r="C1705" i="85"/>
  <c r="C1666" i="85"/>
  <c r="C1913" i="85"/>
  <c r="C1455" i="85"/>
  <c r="C256" i="85"/>
  <c r="C353" i="85"/>
  <c r="C346" i="85"/>
  <c r="C1884" i="85"/>
  <c r="C1809" i="85"/>
  <c r="C1489" i="85"/>
  <c r="C658" i="85"/>
  <c r="C400" i="85"/>
  <c r="C1496" i="85"/>
  <c r="C999" i="85"/>
  <c r="C1838" i="85"/>
  <c r="C249" i="85"/>
  <c r="C1333" i="85"/>
  <c r="C1415" i="85"/>
  <c r="C1437" i="85"/>
  <c r="C1082" i="85"/>
  <c r="C299" i="85"/>
  <c r="C1450" i="85"/>
  <c r="C1570" i="85"/>
  <c r="C172" i="85"/>
  <c r="C500" i="85"/>
  <c r="C1657" i="85"/>
  <c r="C43" i="85"/>
  <c r="C1936" i="85"/>
  <c r="C1510" i="85"/>
  <c r="C1502" i="85"/>
  <c r="C1019" i="85"/>
  <c r="C1443" i="85"/>
  <c r="C1871" i="85"/>
  <c r="C333" i="85"/>
  <c r="C1002" i="85"/>
  <c r="C1883" i="85"/>
  <c r="C1987" i="85"/>
  <c r="C1116" i="85"/>
  <c r="C1721" i="85"/>
  <c r="C583" i="85"/>
  <c r="C1354" i="85"/>
  <c r="C1300" i="85"/>
  <c r="C1781" i="85"/>
  <c r="C1011" i="85"/>
  <c r="C454" i="85"/>
  <c r="C1154" i="85"/>
  <c r="C1925" i="85"/>
  <c r="C1251" i="85"/>
  <c r="C368" i="85"/>
  <c r="C1973" i="85"/>
  <c r="C1346" i="85"/>
  <c r="C464" i="85"/>
  <c r="C752" i="85"/>
  <c r="C688" i="85"/>
  <c r="C903" i="85"/>
  <c r="C178" i="85"/>
  <c r="C1795" i="85"/>
  <c r="C1198" i="85"/>
  <c r="C1585" i="85"/>
  <c r="C1249" i="85"/>
  <c r="C1968" i="85"/>
  <c r="C992" i="85"/>
  <c r="C1798" i="85"/>
  <c r="C1833" i="85"/>
  <c r="C323" i="85"/>
  <c r="C369" i="85"/>
  <c r="C802" i="85"/>
  <c r="C406" i="85"/>
  <c r="C1046" i="85"/>
  <c r="C818" i="85"/>
  <c r="C1581" i="85"/>
  <c r="C219" i="85"/>
  <c r="C1904" i="85"/>
  <c r="C892" i="85"/>
  <c r="C815" i="85"/>
  <c r="C1768" i="85"/>
  <c r="C1949" i="85"/>
  <c r="C1099" i="85"/>
  <c r="C514" i="85"/>
  <c r="C617" i="85"/>
  <c r="C1022" i="85"/>
  <c r="C977" i="85"/>
  <c r="C1482" i="85"/>
  <c r="C1943" i="85"/>
  <c r="C1547" i="85"/>
  <c r="C1569" i="85"/>
  <c r="C1087" i="85"/>
  <c r="C895" i="85"/>
  <c r="C413" i="85"/>
  <c r="C372" i="85"/>
  <c r="C614" i="85"/>
  <c r="C841" i="85"/>
  <c r="C1203" i="85"/>
  <c r="C1406" i="85"/>
  <c r="C340" i="85"/>
  <c r="C468" i="85"/>
  <c r="C485" i="85"/>
  <c r="C510" i="85"/>
  <c r="C1152" i="85"/>
  <c r="C840" i="85"/>
  <c r="C1096" i="85"/>
  <c r="C417" i="85"/>
  <c r="C401" i="85"/>
  <c r="C844" i="85"/>
  <c r="C181" i="85"/>
  <c r="C579" i="85"/>
  <c r="C683" i="85"/>
  <c r="C446" i="85"/>
  <c r="C1660" i="85"/>
  <c r="C329" i="85"/>
  <c r="C1436" i="85"/>
  <c r="C1957" i="85"/>
  <c r="C759" i="85"/>
  <c r="C649" i="85"/>
  <c r="C1574" i="85"/>
  <c r="C1456" i="85"/>
  <c r="C1062" i="85"/>
  <c r="C853" i="85"/>
  <c r="C1126" i="85"/>
  <c r="C1670" i="85"/>
  <c r="C1229" i="85"/>
  <c r="C1947" i="85"/>
  <c r="C769" i="85"/>
  <c r="C854" i="85"/>
  <c r="C1713" i="85"/>
  <c r="C252" i="85"/>
  <c r="C791" i="85"/>
  <c r="C1032" i="85"/>
  <c r="C714" i="85"/>
  <c r="C570" i="85"/>
  <c r="C1084" i="85"/>
  <c r="C1733" i="85"/>
  <c r="C884" i="85"/>
  <c r="C526" i="85"/>
  <c r="C1747" i="85"/>
  <c r="C414" i="85"/>
  <c r="C851" i="85"/>
  <c r="C924" i="85"/>
  <c r="C1826" i="85"/>
  <c r="C565" i="85"/>
  <c r="C1130" i="85"/>
  <c r="C1615" i="85"/>
  <c r="C1000" i="85"/>
  <c r="C1055" i="85"/>
  <c r="C616" i="85"/>
  <c r="C1860" i="85"/>
  <c r="C627" i="85"/>
  <c r="C447" i="85"/>
  <c r="C267" i="85"/>
  <c r="C488" i="85"/>
  <c r="C1176" i="85"/>
  <c r="C279" i="85"/>
  <c r="C266" i="85"/>
  <c r="C1500" i="85"/>
  <c r="C1463" i="85"/>
  <c r="C1819" i="85"/>
  <c r="C1619" i="85"/>
  <c r="C276" i="85"/>
  <c r="C274" i="85"/>
  <c r="C1309" i="85"/>
  <c r="C1739" i="85"/>
  <c r="C1334" i="85"/>
  <c r="C594" i="85"/>
  <c r="C1328" i="85"/>
  <c r="C1774" i="85"/>
  <c r="C1219" i="85"/>
  <c r="C1595" i="85"/>
  <c r="C1243" i="85"/>
  <c r="C626" i="85"/>
  <c r="C866" i="85"/>
  <c r="C1978" i="85"/>
  <c r="C1962" i="85"/>
  <c r="C1451" i="85"/>
  <c r="C1864" i="85"/>
  <c r="C789" i="85"/>
  <c r="C765" i="85"/>
  <c r="C1663" i="85"/>
  <c r="C961" i="85"/>
  <c r="C1590" i="85"/>
  <c r="C84" i="85"/>
  <c r="C956" i="85"/>
  <c r="C1321" i="85"/>
  <c r="C1679" i="85"/>
  <c r="C1230" i="85"/>
  <c r="C1794" i="85"/>
  <c r="C1659" i="85"/>
  <c r="C1298" i="85"/>
  <c r="C1356" i="85"/>
  <c r="C957" i="85"/>
  <c r="C1381" i="85"/>
  <c r="C1592" i="85"/>
  <c r="C577" i="85"/>
  <c r="C1631" i="85"/>
  <c r="C1867" i="85"/>
  <c r="C922" i="85"/>
  <c r="C1911" i="85"/>
  <c r="C466" i="85"/>
  <c r="C1686" i="85"/>
  <c r="C1155" i="85"/>
  <c r="C1673" i="85"/>
  <c r="C1776" i="85"/>
  <c r="C1420" i="85"/>
  <c r="C542" i="85"/>
  <c r="C1382" i="85"/>
  <c r="C561" i="85"/>
  <c r="C1687" i="85"/>
  <c r="C1956" i="85"/>
  <c r="C1149" i="85"/>
  <c r="C1756" i="85"/>
  <c r="C747" i="85"/>
  <c r="C1963" i="85"/>
  <c r="C203" i="85"/>
  <c r="C672" i="85"/>
  <c r="C1658" i="85"/>
  <c r="C1040" i="85"/>
  <c r="C1383" i="85"/>
  <c r="C1905" i="85"/>
  <c r="C1765" i="85"/>
  <c r="C1773" i="85"/>
  <c r="C201" i="85"/>
  <c r="C1711" i="85"/>
  <c r="C246" i="85"/>
  <c r="C1318" i="85"/>
  <c r="C628" i="85"/>
  <c r="C1825" i="85"/>
  <c r="C1119" i="85"/>
  <c r="C1804" i="85"/>
  <c r="C330" i="85"/>
  <c r="C1262" i="85"/>
  <c r="C1580" i="85"/>
  <c r="C177" i="85"/>
  <c r="C1162" i="85"/>
  <c r="C959" i="85"/>
  <c r="C1664" i="85"/>
  <c r="C925" i="85"/>
  <c r="C1790" i="85"/>
  <c r="C1421" i="85"/>
  <c r="C1853" i="85"/>
  <c r="C236" i="85"/>
  <c r="C1428" i="85"/>
  <c r="C1933" i="85"/>
  <c r="C700" i="85"/>
  <c r="C951" i="85"/>
  <c r="C808" i="85"/>
  <c r="C986" i="85"/>
  <c r="C1521" i="85"/>
  <c r="C826" i="85"/>
  <c r="C1599" i="85"/>
  <c r="C1174" i="85"/>
  <c r="C1876" i="85"/>
  <c r="C1367" i="85"/>
  <c r="C1140" i="85"/>
  <c r="C576" i="85"/>
  <c r="C541" i="85"/>
  <c r="C1204" i="85"/>
  <c r="C1240" i="85"/>
  <c r="C1728" i="85"/>
  <c r="C325" i="85"/>
  <c r="C1299" i="85"/>
  <c r="C1696" i="85"/>
  <c r="C1942" i="85"/>
  <c r="C487" i="85"/>
  <c r="C52" i="85"/>
  <c r="C1255" i="85"/>
  <c r="C1453" i="85"/>
  <c r="C952" i="85"/>
  <c r="C1504" i="85"/>
  <c r="C497" i="85"/>
  <c r="C315" i="85"/>
  <c r="C1530" i="85"/>
  <c r="C858" i="85"/>
  <c r="C241" i="85"/>
  <c r="C589" i="85"/>
  <c r="C363" i="85"/>
  <c r="C1678" i="85"/>
  <c r="C1395" i="85"/>
  <c r="C179" i="85"/>
  <c r="C386" i="85"/>
  <c r="C402" i="85"/>
  <c r="C599" i="85"/>
  <c r="C773" i="85"/>
  <c r="C1117" i="85"/>
  <c r="C1513" i="85"/>
  <c r="C1245" i="85"/>
  <c r="C513" i="85"/>
  <c r="C676" i="85"/>
  <c r="C408" i="85"/>
  <c r="C502" i="85"/>
  <c r="C1967" i="85"/>
  <c r="C460" i="85"/>
  <c r="C656" i="85"/>
  <c r="C887" i="85"/>
  <c r="C741" i="85"/>
  <c r="C1338" i="85"/>
  <c r="C1533" i="85"/>
  <c r="C1984" i="85"/>
  <c r="C630" i="85"/>
  <c r="C845" i="85"/>
  <c r="C721" i="85"/>
  <c r="C1644" i="85"/>
  <c r="C650" i="85"/>
  <c r="C1514" i="85"/>
  <c r="C365" i="85"/>
  <c r="C1059" i="85"/>
  <c r="C374" i="85"/>
  <c r="C336" i="85"/>
  <c r="C1136" i="85"/>
  <c r="C779" i="85"/>
  <c r="C1079" i="85"/>
  <c r="C339" i="85"/>
  <c r="C1161" i="85"/>
  <c r="C1630" i="85"/>
  <c r="C1974" i="85"/>
  <c r="C1612" i="85"/>
  <c r="C449" i="85"/>
  <c r="C1870" i="85"/>
  <c r="C661" i="85"/>
  <c r="C511" i="85"/>
  <c r="C1767" i="85"/>
  <c r="C602" i="85"/>
  <c r="C1412" i="85"/>
  <c r="C175" i="85"/>
  <c r="C1985" i="85"/>
  <c r="C395" i="85"/>
  <c r="C1188" i="85"/>
  <c r="C609" i="85"/>
  <c r="C1555" i="85"/>
  <c r="C1550" i="85"/>
  <c r="C1952" i="85"/>
  <c r="C235" i="85"/>
  <c r="C888" i="85"/>
  <c r="C738" i="85"/>
  <c r="C1915" i="85"/>
  <c r="C1138" i="85"/>
  <c r="C424" i="85"/>
  <c r="C226" i="85"/>
  <c r="C1780" i="85"/>
  <c r="C553" i="85"/>
  <c r="C1057" i="85"/>
  <c r="C320" i="85"/>
  <c r="C1534" i="85"/>
  <c r="C767" i="85"/>
  <c r="C1263" i="85"/>
  <c r="C1919" i="85"/>
  <c r="C753" i="85"/>
  <c r="C1868" i="85"/>
  <c r="C793" i="85"/>
  <c r="C1193" i="85"/>
  <c r="C720" i="85"/>
  <c r="C1972" i="85"/>
  <c r="C615" i="85"/>
  <c r="C1223" i="85"/>
  <c r="C1941" i="85"/>
  <c r="C1980" i="85"/>
  <c r="C293" i="85"/>
  <c r="C1158" i="85"/>
  <c r="C601" i="85"/>
  <c r="C1722" i="85"/>
  <c r="C1908" i="85"/>
  <c r="C1027" i="85"/>
  <c r="C1636" i="85"/>
  <c r="C1159" i="85"/>
  <c r="C1236" i="85"/>
  <c r="C1707" i="85"/>
  <c r="C66" i="85"/>
  <c r="C49" i="85"/>
  <c r="C890" i="85"/>
  <c r="C1638" i="85"/>
  <c r="C1969" i="85"/>
  <c r="C1248" i="85"/>
  <c r="C282" i="85"/>
  <c r="C2000" i="85"/>
  <c r="C210" i="85"/>
  <c r="C1814" i="85"/>
  <c r="C1397" i="85"/>
  <c r="C473" i="85"/>
  <c r="C940" i="85"/>
  <c r="C1706" i="85"/>
  <c r="C1037" i="85"/>
  <c r="C1091" i="85"/>
  <c r="C1886" i="85"/>
  <c r="C944" i="85"/>
  <c r="C1830" i="85"/>
  <c r="C745" i="85"/>
  <c r="C1920" i="85"/>
  <c r="C537" i="85"/>
  <c r="C1484" i="85"/>
  <c r="C1239" i="85"/>
  <c r="C1224" i="85"/>
  <c r="C231" i="85"/>
  <c r="C1685" i="85"/>
  <c r="C533" i="85"/>
  <c r="C1241" i="85"/>
  <c r="C856" i="85"/>
  <c r="C1194" i="85"/>
  <c r="C1990" i="85"/>
  <c r="C1003" i="85"/>
  <c r="C842" i="85"/>
  <c r="C1889" i="85"/>
  <c r="C1340" i="85"/>
  <c r="C1115" i="85"/>
  <c r="C546" i="85"/>
  <c r="C453" i="85"/>
  <c r="C1056" i="85"/>
  <c r="C63" i="85"/>
  <c r="C1822" i="85"/>
  <c r="C385" i="85"/>
  <c r="C1427" i="85"/>
  <c r="C1940" i="85"/>
  <c r="C245" i="85"/>
  <c r="C393" i="85"/>
  <c r="C314" i="85"/>
  <c r="C876" i="85"/>
  <c r="C1348" i="85"/>
  <c r="C1361" i="85"/>
  <c r="C1505" i="85"/>
  <c r="C1417" i="85"/>
  <c r="C1352" i="85"/>
  <c r="C927" i="85"/>
  <c r="C1401" i="85"/>
  <c r="C1272" i="85"/>
  <c r="C618" i="85"/>
  <c r="C1667" i="85"/>
  <c r="C1643" i="85"/>
  <c r="C272" i="85"/>
  <c r="C1808" i="85"/>
  <c r="C1364" i="85"/>
  <c r="C670" i="85"/>
  <c r="C1068" i="85"/>
  <c r="C935" i="85"/>
  <c r="C1982" i="85"/>
  <c r="C1689" i="85"/>
  <c r="C1295" i="85"/>
  <c r="C418" i="85"/>
  <c r="C359" i="85"/>
  <c r="C1977" i="85"/>
  <c r="C702" i="85"/>
  <c r="C1566" i="85"/>
  <c r="C1296" i="85"/>
  <c r="C963" i="85"/>
  <c r="C1775" i="85"/>
  <c r="C1800" i="85"/>
  <c r="C1606" i="85"/>
  <c r="C1168" i="85"/>
  <c r="C1365" i="85"/>
  <c r="C1536" i="85"/>
  <c r="C681" i="85"/>
  <c r="C1824" i="85"/>
  <c r="C239" i="85"/>
  <c r="C1345" i="85"/>
  <c r="C1735" i="85"/>
  <c r="C1964" i="85"/>
  <c r="C1104" i="85"/>
  <c r="C1562" i="85"/>
  <c r="C531" i="85"/>
  <c r="C1787" i="85"/>
  <c r="C1191" i="85"/>
  <c r="C1129" i="85"/>
  <c r="C1441" i="85"/>
  <c r="C1036" i="85"/>
  <c r="C69" i="85"/>
  <c r="C480" i="85"/>
  <c r="C736" i="85"/>
  <c r="C273" i="85"/>
  <c r="C1611" i="85"/>
  <c r="C1431" i="85"/>
  <c r="C1975" i="85"/>
  <c r="C1772" i="85"/>
  <c r="C1960" i="85"/>
  <c r="C311" i="85"/>
  <c r="C723" i="85"/>
  <c r="C1624" i="85"/>
  <c r="C334" i="85"/>
  <c r="C843" i="85"/>
  <c r="C1147" i="85"/>
  <c r="C379" i="85"/>
  <c r="C1716" i="85"/>
  <c r="C1379" i="85"/>
  <c r="C830" i="85"/>
  <c r="C907" i="85"/>
  <c r="C555" i="85"/>
  <c r="C1169" i="85"/>
  <c r="C726" i="85"/>
  <c r="C671" i="85"/>
  <c r="C459" i="85"/>
  <c r="C1548" i="85"/>
  <c r="C243" i="85"/>
  <c r="C1172" i="85"/>
  <c r="C1928" i="85"/>
  <c r="C56" i="85"/>
  <c r="C1064" i="85"/>
  <c r="C619" i="85"/>
  <c r="C1409" i="85"/>
  <c r="C1629" i="85"/>
  <c r="C1402" i="85"/>
  <c r="C1498" i="85"/>
  <c r="C443" i="85"/>
  <c r="C1993" i="85"/>
  <c r="C1314" i="85"/>
  <c r="C735" i="85"/>
  <c r="C604" i="85"/>
  <c r="C655" i="85"/>
  <c r="C638" i="85"/>
  <c r="C364" i="85"/>
  <c r="C1355" i="85"/>
  <c r="C1054" i="85"/>
  <c r="C1220" i="85"/>
  <c r="C1447" i="85"/>
  <c r="C1801" i="85"/>
  <c r="C380" i="85"/>
  <c r="C445" i="85"/>
  <c r="C954" i="85"/>
  <c r="C1429" i="85"/>
  <c r="C220" i="85"/>
  <c r="C632" i="85"/>
  <c r="C1196" i="85"/>
  <c r="C1743" i="85"/>
  <c r="C929" i="85"/>
  <c r="C1692" i="85"/>
  <c r="C1471" i="85"/>
  <c r="C170" i="85"/>
  <c r="C669" i="85"/>
  <c r="C600" i="85"/>
  <c r="C871" i="85"/>
  <c r="C456" i="85"/>
  <c r="C1353" i="85"/>
  <c r="C1250" i="85"/>
  <c r="C494" i="85"/>
  <c r="C1280" i="85"/>
  <c r="C1583" i="85"/>
  <c r="C463" i="85"/>
  <c r="C1179" i="85"/>
  <c r="C847" i="85"/>
  <c r="C398" i="85"/>
  <c r="C1538" i="85"/>
  <c r="C1460" i="85"/>
  <c r="C1632" i="85"/>
  <c r="C969" i="85"/>
  <c r="C343" i="85"/>
  <c r="C1369" i="85"/>
  <c r="C1423" i="85"/>
  <c r="C1628" i="85"/>
  <c r="C749" i="85"/>
  <c r="C300" i="85"/>
  <c r="C42" i="85"/>
  <c r="C431" i="85"/>
  <c r="C1634" i="85"/>
  <c r="C525" i="85"/>
  <c r="C1799" i="85"/>
  <c r="C1360" i="85"/>
  <c r="C1524" i="85"/>
  <c r="C171" i="85"/>
  <c r="C173" i="85"/>
  <c r="C1086" i="85"/>
  <c r="C690" i="85"/>
  <c r="C1597" i="85"/>
  <c r="C1766" i="85"/>
  <c r="C1918" i="85"/>
  <c r="C47" i="85"/>
  <c r="C223" i="85"/>
  <c r="C930" i="85"/>
  <c r="C947" i="85"/>
  <c r="C332" i="85"/>
  <c r="C955" i="85"/>
  <c r="C1788" i="85"/>
  <c r="C394" i="85"/>
  <c r="C1258" i="85"/>
  <c r="C953" i="85"/>
  <c r="C481" i="85"/>
  <c r="C1124" i="85"/>
  <c r="C399" i="85"/>
  <c r="C457" i="85"/>
  <c r="C975" i="85"/>
  <c r="C1038" i="85"/>
  <c r="C350" i="85"/>
  <c r="C1305" i="85"/>
  <c r="C1074" i="85"/>
  <c r="C623" i="85"/>
  <c r="C915" i="85"/>
  <c r="C1434" i="85"/>
  <c r="C1094" i="85"/>
  <c r="C873" i="85"/>
  <c r="C1405" i="85"/>
  <c r="C1647" i="85"/>
  <c r="C1464" i="85"/>
  <c r="C1637" i="85"/>
  <c r="C823" i="85"/>
  <c r="C1095" i="85"/>
  <c r="C1763" i="85"/>
  <c r="C1700" i="85"/>
  <c r="C1578" i="85"/>
  <c r="C1554" i="85"/>
  <c r="C1142" i="85"/>
  <c r="C1754" i="85"/>
  <c r="C1877" i="85"/>
  <c r="C966" i="85"/>
  <c r="C1893" i="85"/>
  <c r="C798" i="85"/>
  <c r="C1097" i="85"/>
  <c r="C1107" i="85"/>
  <c r="C750" i="85"/>
  <c r="C1187" i="85"/>
  <c r="C584" i="85"/>
  <c r="C492" i="85"/>
  <c r="C585" i="85"/>
  <c r="C1135" i="85"/>
  <c r="C221" i="85"/>
  <c r="C660" i="85"/>
  <c r="C1653" i="85"/>
  <c r="C985" i="85"/>
  <c r="C1452" i="85"/>
  <c r="C1558" i="85"/>
  <c r="C1575" i="85"/>
  <c r="C1761" i="85"/>
  <c r="C538" i="85"/>
  <c r="C1457" i="85"/>
  <c r="C968" i="85"/>
  <c r="C651" i="85"/>
  <c r="C1641" i="85"/>
  <c r="C905" i="85"/>
  <c r="C176" i="85"/>
  <c r="C864" i="85"/>
  <c r="C913" i="85"/>
  <c r="C1927" i="85"/>
  <c r="C1398" i="85"/>
  <c r="C337" i="85"/>
  <c r="C1674" i="85"/>
  <c r="C1208" i="85"/>
  <c r="C1552" i="85"/>
  <c r="C205" i="85"/>
  <c r="C1171" i="85"/>
  <c r="C53" i="85"/>
  <c r="C328" i="85"/>
  <c r="C1472" i="85"/>
  <c r="C1473" i="85"/>
  <c r="C1882" i="85"/>
  <c r="C260" i="85"/>
  <c r="C1332" i="85"/>
  <c r="C28" i="85"/>
  <c r="C1070" i="85"/>
  <c r="C634" i="85"/>
  <c r="C1588" i="85"/>
  <c r="C997" i="85"/>
  <c r="C1515" i="85"/>
  <c r="C1817" i="85"/>
  <c r="C1310" i="85"/>
  <c r="C679" i="85"/>
  <c r="C347" i="85"/>
  <c r="C1167" i="85"/>
  <c r="C939" i="85"/>
  <c r="C1394" i="85"/>
  <c r="C232" i="85"/>
  <c r="C1399" i="85"/>
  <c r="C189" i="85"/>
  <c r="C1008" i="85"/>
  <c r="C772" i="85"/>
  <c r="C1411" i="85"/>
  <c r="C799" i="85"/>
  <c r="C1811" i="85"/>
  <c r="C1603" i="85"/>
  <c r="C1863" i="85"/>
  <c r="C1828" i="85"/>
  <c r="C764" i="85"/>
  <c r="C1339" i="85"/>
  <c r="C1517" i="85"/>
  <c r="C1286" i="85"/>
  <c r="C662" i="85"/>
  <c r="C1697" i="85"/>
  <c r="C479" i="85"/>
  <c r="C667" i="85"/>
  <c r="C86" i="85"/>
  <c r="C642" i="85"/>
  <c r="C991" i="85"/>
  <c r="C1642" i="85"/>
  <c r="C288" i="85"/>
  <c r="C1244" i="85"/>
  <c r="C1875" i="85"/>
  <c r="C208" i="85"/>
  <c r="C430" i="85"/>
  <c r="C225" i="85"/>
  <c r="C1122" i="85"/>
  <c r="C496" i="85"/>
  <c r="C1622" i="85"/>
  <c r="C1602" i="85"/>
  <c r="C1608" i="85"/>
  <c r="C695" i="85"/>
  <c r="C1029" i="85"/>
  <c r="C530" i="85"/>
  <c r="C1866" i="85"/>
  <c r="C1652" i="85"/>
  <c r="C1839" i="85"/>
  <c r="C76" i="85"/>
  <c r="C324" i="85"/>
  <c r="C193" i="85"/>
  <c r="C376" i="85"/>
  <c r="C1527" i="85"/>
  <c r="C938" i="85"/>
  <c r="C1160" i="85"/>
  <c r="C1834" i="85"/>
  <c r="C1635" i="85"/>
  <c r="C405" i="85"/>
  <c r="C1350" i="85"/>
  <c r="C128" i="85"/>
  <c r="C1793" i="85"/>
  <c r="C718" i="85"/>
  <c r="C1134" i="85"/>
  <c r="C976" i="85"/>
  <c r="C83" i="85"/>
  <c r="C490" i="85"/>
  <c r="C790" i="85"/>
  <c r="C1475" i="85"/>
  <c r="C962" i="85"/>
  <c r="C805" i="85"/>
  <c r="C222" i="85"/>
  <c r="C559" i="85"/>
  <c r="C1234" i="85"/>
  <c r="C1752" i="85"/>
  <c r="C313" i="85"/>
  <c r="C212" i="85"/>
  <c r="C292" i="85"/>
  <c r="C1048" i="85"/>
  <c r="C1349" i="85"/>
  <c r="C978" i="85"/>
  <c r="C1281" i="85"/>
  <c r="C356" i="85"/>
  <c r="C1764" i="85"/>
  <c r="C420" i="85"/>
  <c r="C522" i="85"/>
  <c r="C211" i="85"/>
  <c r="C1461" i="85"/>
  <c r="C1560" i="85"/>
  <c r="C562" i="85"/>
  <c r="C1282" i="85"/>
  <c r="C327" i="85"/>
  <c r="C794" i="85"/>
  <c r="C1101" i="85"/>
  <c r="C1039" i="85"/>
  <c r="C442" i="85"/>
  <c r="C1400" i="85"/>
  <c r="C1277" i="85"/>
  <c r="C122" i="85"/>
  <c r="C936" i="85"/>
  <c r="C1720" i="85"/>
  <c r="C1213" i="85"/>
  <c r="C1268" i="85"/>
  <c r="C1895" i="85"/>
  <c r="C296" i="85"/>
  <c r="C1368" i="85"/>
  <c r="C441" i="85"/>
  <c r="C595" i="85"/>
  <c r="C1729" i="85"/>
  <c r="C493" i="85"/>
  <c r="C214" i="85"/>
  <c r="C345" i="85"/>
  <c r="C1892" i="85"/>
  <c r="C1189" i="85"/>
  <c r="C289" i="85"/>
  <c r="C1979" i="85"/>
  <c r="C859" i="85"/>
  <c r="C1232" i="85"/>
  <c r="C308" i="85"/>
  <c r="C78" i="85"/>
  <c r="C742" i="85"/>
  <c r="C1373" i="85"/>
  <c r="C1483" i="85"/>
  <c r="C1567" i="85"/>
  <c r="C322" i="85"/>
  <c r="C421" i="85"/>
  <c r="C677" i="85"/>
  <c r="C1849" i="85"/>
  <c r="C1459" i="85"/>
  <c r="C434" i="85"/>
  <c r="C801" i="85"/>
  <c r="C1935" i="85"/>
  <c r="C1542" i="85"/>
  <c r="C495" i="85"/>
  <c r="C1391" i="85"/>
  <c r="C1745" i="85"/>
  <c r="C1217" i="85"/>
  <c r="C1986" i="85"/>
  <c r="C611" i="85"/>
  <c r="C1897" i="85"/>
  <c r="C885" i="85"/>
  <c r="C1609" i="85"/>
  <c r="C278" i="85"/>
  <c r="C812" i="85"/>
  <c r="C1543" i="85"/>
  <c r="C257" i="85"/>
  <c r="C215" i="85"/>
  <c r="C783" i="85"/>
  <c r="C33" i="85"/>
  <c r="C912" i="85"/>
  <c r="C1929" i="85"/>
  <c r="C1661" i="85"/>
  <c r="C227" i="85"/>
  <c r="C1013" i="85"/>
  <c r="C1845" i="85"/>
  <c r="C996" i="85"/>
  <c r="C65" i="85"/>
  <c r="C1704" i="85"/>
  <c r="C556" i="85"/>
  <c r="C1372" i="85"/>
  <c r="C1247" i="85"/>
  <c r="C709" i="85"/>
  <c r="C1058" i="85"/>
  <c r="C1797" i="85"/>
  <c r="C1944" i="85"/>
  <c r="C1260" i="85"/>
  <c r="C1821" i="85"/>
  <c r="C349" i="85"/>
  <c r="C548" i="85"/>
  <c r="C520" i="85"/>
  <c r="C354" i="85"/>
  <c r="C403" i="85"/>
  <c r="C839" i="85"/>
  <c r="C1366" i="85"/>
  <c r="C291" i="85"/>
  <c r="C857" i="85"/>
  <c r="C1650" i="85"/>
  <c r="C1313" i="85"/>
  <c r="C1344" i="85"/>
  <c r="C1088" i="85"/>
  <c r="C1413" i="85"/>
  <c r="C1114" i="85"/>
  <c r="C1254" i="85"/>
  <c r="C645" i="85"/>
  <c r="C1293" i="85"/>
  <c r="C297" i="85"/>
  <c r="C1028" i="85"/>
  <c r="C1442" i="85"/>
  <c r="C1290" i="85"/>
  <c r="C1050" i="85"/>
  <c r="C1832" i="85"/>
  <c r="C290" i="85"/>
  <c r="C476" i="85"/>
  <c r="C945" i="85"/>
  <c r="C440" i="85"/>
  <c r="C351" i="85"/>
  <c r="C1403" i="85"/>
  <c r="C1113" i="85"/>
  <c r="C465" i="85"/>
  <c r="C1330" i="85"/>
  <c r="C886" i="85"/>
  <c r="C1645" i="85"/>
  <c r="C1557" i="85"/>
  <c r="C422" i="85"/>
  <c r="C1226" i="85"/>
  <c r="C1997" i="85"/>
  <c r="C1890" i="85"/>
  <c r="C341" i="85"/>
  <c r="C829" i="85"/>
  <c r="C307" i="85"/>
  <c r="C444" i="85"/>
  <c r="C187" i="85"/>
  <c r="C283" i="85"/>
  <c r="C1202" i="85"/>
  <c r="C416" i="85"/>
  <c r="C180" i="85"/>
  <c r="C539" i="85"/>
  <c r="C40" i="85"/>
  <c r="C1600" i="85"/>
  <c r="C1111" i="85"/>
  <c r="C1306" i="85"/>
  <c r="C1939" i="85"/>
  <c r="C268" i="85"/>
  <c r="C383" i="85"/>
  <c r="C344" i="85"/>
  <c r="C748" i="85"/>
  <c r="C1862" i="85"/>
  <c r="C1519" i="85"/>
  <c r="C1887" i="85"/>
  <c r="C407" i="85"/>
  <c r="C277" i="85"/>
  <c r="C1112" i="85"/>
  <c r="C1378" i="85"/>
  <c r="C411" i="85"/>
  <c r="C519" i="85"/>
  <c r="C620" i="85"/>
  <c r="C1341" i="85"/>
  <c r="C48" i="85"/>
  <c r="C811" i="85"/>
  <c r="C1139" i="85"/>
  <c r="C183" i="85"/>
  <c r="C792" i="85"/>
  <c r="C1591" i="85"/>
  <c r="C725" i="85"/>
  <c r="C970" i="85"/>
  <c r="C261" i="85"/>
  <c r="C287" i="85"/>
  <c r="C1301" i="85"/>
  <c r="C1508" i="85"/>
  <c r="C678" i="85"/>
  <c r="C674" i="85"/>
  <c r="C1043" i="85"/>
  <c r="C1092" i="85"/>
  <c r="C846" i="85"/>
  <c r="C1848" i="85"/>
  <c r="C1857" i="85"/>
  <c r="C1322" i="85"/>
  <c r="C1815" i="85"/>
  <c r="C581" i="85"/>
  <c r="C737" i="85"/>
  <c r="C258" i="85"/>
  <c r="C218" i="85"/>
  <c r="C1688" i="85"/>
  <c r="C397" i="85"/>
  <c r="C967" i="85"/>
  <c r="C1953" i="85"/>
  <c r="C264" i="85"/>
  <c r="C116" i="85"/>
  <c r="C875" i="85"/>
  <c r="C474" i="85"/>
  <c r="C1214" i="85"/>
  <c r="C1710" i="85"/>
  <c r="C412" i="85"/>
  <c r="C1371" i="85"/>
  <c r="C247" i="85"/>
  <c r="C731" i="85"/>
  <c r="C1938" i="85"/>
  <c r="C1770" i="85"/>
  <c r="C1950" i="85"/>
  <c r="C571" i="85"/>
  <c r="C1758" i="85"/>
  <c r="C348" i="85"/>
  <c r="C974" i="85"/>
  <c r="C1601" i="85"/>
  <c r="C1509" i="85"/>
  <c r="C603" i="85"/>
  <c r="C568" i="85"/>
  <c r="C1662" i="85"/>
  <c r="C1751" i="85"/>
  <c r="C1481" i="85"/>
  <c r="C1859" i="85"/>
  <c r="C384" i="85"/>
  <c r="C703" i="85"/>
  <c r="C878" i="85"/>
  <c r="C470" i="85"/>
  <c r="C1681" i="85"/>
  <c r="C1565" i="85"/>
  <c r="C1145" i="85"/>
  <c r="C551" i="85"/>
  <c r="C1896" i="85"/>
  <c r="C428" i="85"/>
  <c r="C1183" i="85"/>
  <c r="C941" i="85"/>
  <c r="C1639" i="85"/>
  <c r="C636" i="85"/>
  <c r="C1287" i="85"/>
  <c r="C893" i="85"/>
  <c r="C1529" i="85"/>
  <c r="C1173" i="85"/>
  <c r="C1051" i="85"/>
  <c r="C467" i="85"/>
  <c r="C1922" i="85"/>
  <c r="C1274" i="85"/>
  <c r="C824" i="85"/>
  <c r="C62" i="85"/>
  <c r="C1910" i="85"/>
  <c r="C352" i="85"/>
  <c r="C1077" i="85"/>
  <c r="C206" i="85"/>
  <c r="C711" i="85"/>
  <c r="C517" i="85"/>
  <c r="C1732" i="85"/>
  <c r="C771" i="85"/>
  <c r="C608" i="85"/>
  <c r="C1479" i="85"/>
  <c r="C1177" i="85"/>
  <c r="C1347" i="85"/>
  <c r="C321" i="85"/>
  <c r="C758" i="85"/>
  <c r="C1324" i="85"/>
  <c r="C920" i="85"/>
  <c r="C1110" i="85"/>
  <c r="C1961" i="85"/>
  <c r="C1252" i="85"/>
  <c r="C980" i="85"/>
  <c r="C707" i="85"/>
  <c r="C724" i="85"/>
  <c r="C436" i="85"/>
  <c r="C1426" i="85"/>
  <c r="C1435" i="85"/>
  <c r="C1718" i="85"/>
  <c r="C209" i="85"/>
  <c r="C989" i="85"/>
  <c r="C355" i="85"/>
  <c r="C1335" i="85"/>
  <c r="C1486" i="85"/>
  <c r="C462" i="85"/>
  <c r="C1005" i="85"/>
  <c r="C810" i="85"/>
  <c r="C195" i="85"/>
  <c r="C1610" i="85"/>
  <c r="C1186" i="85"/>
  <c r="C1490" i="85"/>
  <c r="C508" i="85"/>
  <c r="C943" i="85"/>
  <c r="C204" i="85"/>
  <c r="C1598" i="85"/>
  <c r="C259" i="85"/>
  <c r="C1769" i="85"/>
  <c r="C1998" i="85"/>
  <c r="C250" i="85"/>
  <c r="C1507" i="85"/>
  <c r="C836" i="85"/>
  <c r="C894" i="85"/>
  <c r="C1307" i="85"/>
  <c r="C1861" i="85"/>
  <c r="C797" i="85"/>
  <c r="C1238" i="85"/>
  <c r="C637" i="85"/>
  <c r="C757" i="85"/>
  <c r="C1493" i="85"/>
  <c r="C1270" i="85"/>
  <c r="C1847" i="85"/>
  <c r="C1017" i="85"/>
  <c r="C788" i="85"/>
  <c r="C1215" i="85"/>
  <c r="C1702" i="85"/>
  <c r="C1946" i="85"/>
  <c r="C199" i="85"/>
  <c r="C1715" i="85"/>
  <c r="C1835" i="85"/>
  <c r="C1197" i="85"/>
  <c r="C814" i="85"/>
  <c r="C1727" i="85"/>
  <c r="C1771" i="85"/>
  <c r="C1384" i="85"/>
  <c r="C1148" i="85"/>
  <c r="C971" i="85"/>
  <c r="C1284" i="85"/>
  <c r="C1561" i="85"/>
  <c r="C1499" i="85"/>
  <c r="C1015" i="85"/>
  <c r="C1316" i="85"/>
  <c r="C1872" i="85"/>
  <c r="C426" i="85"/>
  <c r="C197" i="85"/>
  <c r="C254" i="85"/>
  <c r="C973" i="85"/>
  <c r="C1572" i="85"/>
  <c r="C881" i="85"/>
  <c r="C1175" i="85"/>
  <c r="C182" i="85"/>
  <c r="C338" i="85"/>
  <c r="C1755" i="85"/>
  <c r="C534" i="85"/>
  <c r="C1337" i="85"/>
  <c r="C1613" i="85"/>
  <c r="C373" i="85"/>
  <c r="C230" i="85"/>
  <c r="C1102" i="85"/>
  <c r="C734" i="85"/>
  <c r="C1851" i="85"/>
  <c r="C1873" i="85"/>
  <c r="C1646" i="85"/>
  <c r="C1418" i="85"/>
  <c r="C1924" i="85"/>
  <c r="C754" i="85"/>
  <c r="C1951" i="85"/>
  <c r="C191" i="85"/>
  <c r="C240" i="85"/>
  <c r="C1218" i="85"/>
  <c r="C1564" i="85"/>
  <c r="C358" i="85"/>
  <c r="C777" i="85"/>
  <c r="C455" i="85"/>
  <c r="C795" i="85"/>
  <c r="C507" i="85"/>
  <c r="C317" i="85"/>
  <c r="C367" i="85"/>
  <c r="C704" i="85"/>
  <c r="C882" i="85"/>
  <c r="C800" i="85"/>
  <c r="C1858" i="85"/>
  <c r="C1654" i="85"/>
  <c r="C860" i="85"/>
  <c r="C582" i="85"/>
  <c r="C1577" i="85"/>
  <c r="C501" i="85"/>
  <c r="C804" i="85"/>
  <c r="C1836" i="85"/>
  <c r="C1067" i="85"/>
  <c r="C439" i="85"/>
  <c r="C1200" i="85"/>
  <c r="C391" i="85"/>
  <c r="C306" i="85"/>
  <c r="C984" i="85"/>
  <c r="C1994" i="85"/>
  <c r="C819" i="85"/>
  <c r="C387" i="85"/>
  <c r="C1540" i="85"/>
  <c r="C1582" i="85"/>
  <c r="C1633" i="85"/>
  <c r="C1144" i="85"/>
  <c r="C1518" i="85"/>
  <c r="C706" i="85"/>
  <c r="C1033" i="85"/>
  <c r="C1744" i="85"/>
  <c r="C1492" i="85"/>
  <c r="C381" i="85"/>
  <c r="C1511" i="85"/>
  <c r="C1297" i="85"/>
  <c r="C188" i="85"/>
  <c r="C1470" i="85"/>
  <c r="C269" i="85"/>
  <c r="C1584" i="85"/>
  <c r="C1865" i="85"/>
  <c r="C715" i="85"/>
  <c r="C786" i="85"/>
  <c r="C919" i="85"/>
  <c r="C312" i="85"/>
  <c r="C1675" i="85"/>
  <c r="C366" i="85"/>
  <c r="C298" i="85"/>
  <c r="C316" i="85"/>
  <c r="C536" i="85"/>
  <c r="C438" i="85"/>
  <c r="C68" i="85"/>
  <c r="C1458" i="85"/>
  <c r="C654" i="85"/>
  <c r="C1480" i="85"/>
  <c r="C1061" i="85"/>
  <c r="C733" i="85"/>
  <c r="C639" i="85"/>
  <c r="C590" i="85"/>
  <c r="C1726" i="85"/>
  <c r="C950" i="85"/>
  <c r="C1237" i="85"/>
  <c r="C1723" i="85"/>
  <c r="C429" i="85"/>
  <c r="C1855" i="85"/>
  <c r="C1228" i="85"/>
  <c r="C1999" i="85"/>
  <c r="C774" i="85"/>
  <c r="C196" i="85"/>
  <c r="C1076" i="85"/>
  <c r="C1954" i="85"/>
  <c r="C1995" i="85"/>
  <c r="C1422" i="85"/>
  <c r="C275" i="85"/>
  <c r="C1170" i="85"/>
  <c r="C1748" i="85"/>
  <c r="C1576" i="85"/>
  <c r="C696" i="85"/>
  <c r="C27" i="85"/>
  <c r="C1526" i="85"/>
  <c r="C994" i="85"/>
  <c r="C1034" i="85"/>
  <c r="C1042" i="85"/>
  <c r="C610" i="85"/>
  <c r="C946" i="85"/>
  <c r="C1777" i="85"/>
  <c r="C1573" i="85"/>
  <c r="C1491" i="85"/>
  <c r="C29" i="85"/>
  <c r="C1976" i="85"/>
  <c r="C1103" i="85"/>
  <c r="C586" i="85"/>
  <c r="C987" i="85"/>
  <c r="C1120" i="85"/>
  <c r="C419" i="85"/>
  <c r="C743" i="85"/>
  <c r="C560" i="85"/>
  <c r="C549" i="85"/>
  <c r="C1551" i="85"/>
  <c r="C1292" i="85"/>
  <c r="C207" i="85"/>
  <c r="C1192" i="85"/>
  <c r="C607" i="85"/>
  <c r="C504" i="85"/>
  <c r="C94" i="85"/>
  <c r="C304" i="85"/>
  <c r="C1691" i="85"/>
  <c r="C91" i="85"/>
  <c r="C566" i="85"/>
  <c r="C1724" i="85"/>
  <c r="C1375" i="85"/>
  <c r="C437" i="85"/>
  <c r="C1253" i="85"/>
  <c r="C1075" i="85"/>
  <c r="C1377" i="85"/>
  <c r="C1231" i="85"/>
  <c r="C1166" i="85"/>
  <c r="C1742" i="85"/>
  <c r="C1319" i="85"/>
  <c r="C486" i="85"/>
  <c r="C796" i="85"/>
  <c r="C1320" i="85"/>
  <c r="C34" i="85"/>
  <c r="C1020" i="85"/>
  <c r="C643" i="85"/>
  <c r="C1098" i="85"/>
  <c r="C663" i="85"/>
  <c r="C1958" i="85"/>
  <c r="C1291" i="85"/>
  <c r="C1285" i="85"/>
  <c r="C1854" i="85"/>
  <c r="C1665" i="85"/>
  <c r="C1257" i="85"/>
  <c r="C686" i="85"/>
  <c r="C1131" i="85"/>
  <c r="C770" i="85"/>
  <c r="C863" i="85"/>
  <c r="C451" i="85"/>
  <c r="C1719" i="85"/>
  <c r="C1753" i="85"/>
  <c r="C1205" i="85"/>
  <c r="C631" i="85"/>
  <c r="C716" i="85"/>
  <c r="C708" i="85"/>
  <c r="C1930" i="85"/>
  <c r="C1118" i="85"/>
  <c r="C516" i="85"/>
  <c r="C613" i="85"/>
  <c r="C1271" i="85"/>
  <c r="C1731" i="85"/>
  <c r="C255" i="85"/>
  <c r="C694" i="85"/>
  <c r="C1288" i="85"/>
  <c r="C1746" i="85"/>
  <c r="C816" i="85"/>
  <c r="C942" i="85"/>
  <c r="C1256" i="85"/>
  <c r="C979" i="85"/>
  <c r="C1023" i="85"/>
  <c r="C1571" i="85"/>
  <c r="C693" i="85"/>
  <c r="C1386" i="85"/>
  <c r="C1045" i="85"/>
  <c r="C1684" i="85"/>
  <c r="C1073" i="85"/>
  <c r="C1259" i="85"/>
  <c r="C1012" i="85"/>
  <c r="C1279" i="85"/>
  <c r="C906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<sst xmlns="http://schemas.openxmlformats.org/spreadsheetml/2006/main" count="12122" uniqueCount="2417">
  <si>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</si>
  <si>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</si>
  <si>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</si>
  <si>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</si>
  <si>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</si>
  <si>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</si>
  <si>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</si>
  <si>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</si>
  <si>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</si>
  <si>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</si>
  <si>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</si>
  <si>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</si>
  <si>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</si>
  <si>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</si>
  <si>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</si>
  <si>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</si>
  <si>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</si>
  <si>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</si>
  <si>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</si>
  <si>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</si>
  <si>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</si>
  <si>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</si>
  <si>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</si>
  <si>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</si>
  <si>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</si>
  <si>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</si>
  <si>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</si>
  <si>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</si>
  <si>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</si>
  <si>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</si>
  <si>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</si>
  <si>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</si>
  <si>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</si>
  <si>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</si>
  <si>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</si>
  <si>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</si>
  <si>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</si>
  <si>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</si>
  <si>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</si>
  <si>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</si>
  <si>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</si>
  <si>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</si>
  <si>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</si>
  <si>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</si>
  <si>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</si>
  <si>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</si>
  <si>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</si>
  <si>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</si>
  <si>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</si>
  <si>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</si>
  <si>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</si>
  <si>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</si>
  <si>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</si>
  <si>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</si>
  <si>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</si>
  <si>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</si>
  <si>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</si>
  <si>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</si>
  <si>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</si>
  <si>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</si>
  <si>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</si>
  <si>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</si>
  <si>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</si>
  <si>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</si>
  <si>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</si>
  <si>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</si>
  <si>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</si>
  <si>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</si>
  <si>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</si>
  <si>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</si>
  <si>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</si>
  <si>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</si>
  <si>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</si>
  <si>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</si>
  <si>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</si>
  <si>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</si>
  <si>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</si>
  <si>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</si>
  <si>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</si>
  <si>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</si>
  <si>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</si>
  <si>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</si>
  <si>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</si>
  <si>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</si>
  <si>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</si>
  <si>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</si>
  <si>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</si>
  <si>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</si>
  <si>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</si>
  <si>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</si>
  <si>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</si>
  <si>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</si>
  <si>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</si>
  <si>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</si>
  <si>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</si>
  <si>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</si>
  <si>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</si>
  <si>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</si>
  <si>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</si>
  <si>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</si>
  <si>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</si>
  <si>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</si>
  <si>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</si>
  <si>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</si>
  <si>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</si>
  <si>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</si>
  <si>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</si>
  <si>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</si>
  <si>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</si>
  <si>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</si>
  <si>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</si>
  <si>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</si>
  <si>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</si>
  <si>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</si>
  <si>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</si>
  <si>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</si>
  <si>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</si>
  <si>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</si>
  <si>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</si>
  <si>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</si>
  <si>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</si>
  <si>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</si>
  <si>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</si>
  <si>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</si>
  <si>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</si>
  <si>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</si>
  <si>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</si>
  <si>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</si>
  <si>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</si>
  <si>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</si>
  <si>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</si>
  <si>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</si>
  <si>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</si>
  <si>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</si>
  <si>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</si>
  <si>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</si>
  <si>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</si>
  <si>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</si>
  <si>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</si>
  <si>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</si>
  <si>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</si>
  <si>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</si>
  <si>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</si>
  <si>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</si>
  <si>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</si>
  <si>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</si>
  <si>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</si>
  <si>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</si>
  <si>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</si>
  <si>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</si>
  <si>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</si>
  <si>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</si>
  <si>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</si>
  <si>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</si>
  <si>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</si>
  <si>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</si>
  <si>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</si>
  <si>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</si>
  <si>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</si>
  <si>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</si>
  <si>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</si>
  <si>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</si>
  <si>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</si>
  <si>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</si>
  <si>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</si>
  <si>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</si>
  <si>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</si>
  <si>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</si>
  <si>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</si>
  <si>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</si>
  <si>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</si>
  <si>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</si>
  <si>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</si>
  <si>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</si>
  <si>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</si>
  <si>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</si>
  <si>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</si>
  <si>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</si>
  <si>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</si>
  <si>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</si>
  <si>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</si>
  <si>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</si>
  <si>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</si>
  <si>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</si>
  <si>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</si>
  <si>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</si>
  <si>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</si>
  <si>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</si>
  <si>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</si>
  <si>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</si>
  <si>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</si>
  <si>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</si>
  <si>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</si>
  <si>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</si>
  <si>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</si>
  <si>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</si>
  <si>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</si>
  <si>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</si>
  <si>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</si>
  <si>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</si>
  <si>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</si>
  <si>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</si>
  <si>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</si>
  <si>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</si>
  <si>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</si>
  <si>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</si>
  <si>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</si>
  <si>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</si>
  <si>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</si>
  <si>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</si>
  <si>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</si>
  <si>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</si>
  <si>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</si>
  <si>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</si>
  <si>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</si>
  <si>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</si>
  <si>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</si>
  <si>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</si>
  <si>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</si>
  <si>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</si>
  <si>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</si>
  <si>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</si>
  <si>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</si>
  <si>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</si>
  <si>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</si>
  <si>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</si>
  <si>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</si>
  <si>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</si>
  <si>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</si>
  <si>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</si>
  <si>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</si>
  <si>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</si>
  <si>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</si>
  <si>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</si>
  <si>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</si>
  <si>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</si>
  <si>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</si>
  <si>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</si>
  <si>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</si>
  <si>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</si>
  <si>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</si>
  <si>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</si>
  <si>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</si>
  <si>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</si>
  <si>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</si>
  <si>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</si>
  <si>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</si>
  <si>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</si>
  <si>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</si>
  <si>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</si>
  <si>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</si>
  <si>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</si>
  <si>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</si>
  <si>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</si>
  <si>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</si>
  <si>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</si>
  <si>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</si>
  <si>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</si>
  <si>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</si>
  <si>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</si>
  <si>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</si>
  <si>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</si>
  <si>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</si>
  <si>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</si>
  <si>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</si>
  <si>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</si>
  <si>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</si>
  <si>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</si>
  <si>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</si>
  <si>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</si>
  <si>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</si>
  <si>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</si>
  <si>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</si>
  <si>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</si>
  <si>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</si>
  <si>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</si>
  <si>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</si>
  <si>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</si>
  <si>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</si>
  <si>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</si>
  <si>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</si>
  <si>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</si>
  <si>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</si>
  <si>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</si>
  <si>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</si>
  <si>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</si>
  <si>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</si>
  <si>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</si>
  <si>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</si>
  <si>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</si>
  <si>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</si>
  <si>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</si>
  <si>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</si>
  <si>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</si>
  <si>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</si>
  <si>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</si>
  <si>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</si>
  <si>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</si>
  <si>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</si>
  <si>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</si>
  <si>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</si>
  <si>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</si>
  <si>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</si>
  <si>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</si>
  <si>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</si>
  <si>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</si>
  <si>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</si>
  <si>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</si>
  <si>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</si>
  <si>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</si>
  <si>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</si>
  <si>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</si>
  <si>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</si>
  <si>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</si>
  <si>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</si>
  <si>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</si>
  <si>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</si>
  <si>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</si>
  <si>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</si>
  <si>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</si>
  <si>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</si>
  <si>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</si>
  <si>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</si>
  <si>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</si>
  <si>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</si>
  <si>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</si>
  <si>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</si>
  <si>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</si>
  <si>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</si>
  <si>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</si>
  <si>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</si>
  <si>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</si>
  <si>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</si>
  <si>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</si>
  <si>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</si>
  <si>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</si>
  <si>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</si>
  <si>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</si>
  <si>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</si>
  <si>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</si>
  <si>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</si>
  <si>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</si>
  <si>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</si>
  <si>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</si>
  <si>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</si>
  <si>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</si>
  <si>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</si>
  <si>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</si>
  <si>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</si>
  <si>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</si>
  <si>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</si>
  <si>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</si>
  <si>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</si>
  <si>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</si>
  <si>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</si>
  <si>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</si>
  <si>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</si>
  <si>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</si>
  <si>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</si>
  <si>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</si>
  <si>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</si>
  <si>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</si>
  <si>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</si>
  <si>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</si>
  <si>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</si>
  <si>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</si>
  <si>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</si>
  <si>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</si>
  <si>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</si>
  <si>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</si>
  <si>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</si>
  <si>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</si>
  <si>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</si>
  <si>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</si>
  <si>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</si>
  <si>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</si>
  <si>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</si>
  <si>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</si>
  <si>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</si>
  <si>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</si>
  <si>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</si>
  <si>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</si>
  <si>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</si>
  <si>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</si>
  <si>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</si>
  <si>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</si>
  <si>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</si>
  <si>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</si>
  <si>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</si>
  <si>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</si>
  <si>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</si>
  <si>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</si>
  <si>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</si>
  <si>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</si>
  <si>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</si>
  <si>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</si>
  <si>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</si>
  <si>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</si>
  <si>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</si>
  <si>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</si>
  <si>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</si>
  <si>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</si>
  <si>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</si>
  <si>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</si>
  <si>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</si>
  <si>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</si>
  <si>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</si>
  <si>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</si>
  <si>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</si>
  <si>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</si>
  <si>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</si>
  <si>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</si>
  <si>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</si>
  <si>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</si>
  <si>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</si>
  <si>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</si>
  <si>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</si>
  <si>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</si>
  <si>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</si>
  <si>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</si>
  <si>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</si>
  <si>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</si>
  <si>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</si>
  <si>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</si>
  <si>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</si>
  <si>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</si>
  <si>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</si>
  <si>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</si>
  <si>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</si>
  <si>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</si>
  <si>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</si>
  <si>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</si>
  <si>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</si>
  <si>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</si>
  <si>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</si>
  <si>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</si>
  <si>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</si>
  <si>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</si>
  <si>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</si>
  <si>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</si>
  <si>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</si>
  <si>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</si>
  <si>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</si>
  <si>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</si>
  <si>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</si>
  <si>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</si>
  <si>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</si>
  <si>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</si>
  <si>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</si>
  <si>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</si>
  <si>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</si>
  <si>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</si>
  <si>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</si>
  <si>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</si>
  <si>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</si>
  <si>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</si>
  <si>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</si>
  <si>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</si>
  <si>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</si>
  <si>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</si>
  <si>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</si>
  <si>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</si>
  <si>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</si>
  <si>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</si>
  <si>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</si>
  <si>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</si>
  <si>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</si>
  <si>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</si>
  <si>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</si>
  <si>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</si>
  <si>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</si>
  <si>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</si>
  <si>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</si>
  <si>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</si>
  <si>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</si>
  <si>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</si>
  <si>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</si>
  <si>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</si>
  <si>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</si>
  <si>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</si>
  <si>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</si>
  <si>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</si>
  <si>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</si>
  <si>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</si>
  <si>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</si>
  <si>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</si>
  <si>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</si>
  <si>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</si>
  <si>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</si>
  <si>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</si>
  <si>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</si>
  <si>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</si>
  <si>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</si>
  <si>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</si>
  <si>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</si>
  <si>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</si>
  <si>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</si>
  <si>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</si>
  <si>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</si>
  <si>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</si>
  <si>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</si>
  <si>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</si>
  <si>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</si>
  <si>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</si>
  <si>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</si>
  <si>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</si>
  <si>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</si>
  <si>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</si>
  <si>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</si>
  <si>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</si>
  <si>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</si>
  <si>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</si>
  <si>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</si>
  <si>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</si>
  <si>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</si>
  <si>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</si>
  <si>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</si>
  <si>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</si>
  <si>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</si>
  <si>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</si>
  <si>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</si>
  <si>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</si>
  <si>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</si>
  <si>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</si>
  <si>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</si>
  <si>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</si>
  <si>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</si>
  <si>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</si>
  <si>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</si>
  <si>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</si>
  <si>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</si>
  <si>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</si>
  <si>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</si>
  <si>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</si>
  <si>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</si>
  <si>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</si>
  <si>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</si>
  <si>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</si>
  <si>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</si>
  <si>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</si>
  <si>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</si>
  <si>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</si>
  <si>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</si>
  <si>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</si>
  <si>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</si>
  <si>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</si>
  <si>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</si>
  <si>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</si>
  <si>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</si>
  <si>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</si>
  <si>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</si>
  <si>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</si>
  <si>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</si>
  <si>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</si>
  <si>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</si>
  <si>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</si>
  <si>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</si>
  <si>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</si>
  <si>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</si>
  <si>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</si>
  <si>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</si>
  <si>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</si>
  <si>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</si>
  <si>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</si>
  <si>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</si>
  <si>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</si>
  <si>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</si>
  <si>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</si>
  <si>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</si>
  <si>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</si>
  <si>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</si>
  <si>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</si>
  <si>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</si>
  <si>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</si>
  <si>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</si>
  <si>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</si>
  <si>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</si>
  <si>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</si>
  <si>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</si>
  <si>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</si>
  <si>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</si>
  <si>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</si>
  <si>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</si>
  <si>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</si>
  <si>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</si>
  <si>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</si>
  <si>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</si>
  <si>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</si>
  <si>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</si>
  <si>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</si>
  <si>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</si>
  <si>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</si>
  <si>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</si>
  <si>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</si>
  <si>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</si>
  <si>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</si>
  <si>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</si>
  <si>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</si>
  <si>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</si>
  <si>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</si>
  <si>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</si>
  <si>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</si>
  <si>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</si>
  <si>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</si>
  <si>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</si>
  <si>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</si>
  <si>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</si>
  <si>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</si>
  <si>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</si>
  <si>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</si>
  <si>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</si>
  <si>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</si>
  <si>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</si>
  <si>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</si>
  <si>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</si>
  <si>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</si>
  <si>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</si>
  <si>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</si>
  <si>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</si>
  <si>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</si>
  <si>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</si>
  <si>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</si>
  <si>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</si>
  <si>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</si>
  <si>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</si>
  <si>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</si>
  <si>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</si>
  <si>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</si>
  <si>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</si>
  <si>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</si>
  <si>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</si>
  <si>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</si>
  <si>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</si>
  <si>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</si>
  <si>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</si>
  <si>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</si>
  <si>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</si>
  <si>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</si>
  <si>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</si>
  <si>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</si>
  <si>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</si>
  <si>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</si>
  <si>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</si>
  <si>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</si>
  <si>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</si>
  <si>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</si>
  <si>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</si>
  <si>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</si>
  <si>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</si>
  <si>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</si>
  <si>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</si>
  <si>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</si>
  <si>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</si>
  <si>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</si>
  <si>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</si>
  <si>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</si>
  <si>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</si>
  <si>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</si>
  <si>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</si>
  <si>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</si>
  <si>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</si>
  <si>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</si>
  <si>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</si>
  <si>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</si>
  <si>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</si>
  <si>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</si>
  <si>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</si>
  <si>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</si>
  <si>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</si>
  <si>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</si>
  <si>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</si>
  <si>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</si>
  <si>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</si>
  <si>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</si>
  <si>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</si>
  <si>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</si>
  <si>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</si>
  <si>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</si>
  <si>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</si>
  <si>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</si>
  <si>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</si>
  <si>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</si>
  <si>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</si>
  <si>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</si>
  <si>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</si>
  <si>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</si>
  <si>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</si>
  <si>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</si>
  <si>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</si>
  <si>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</si>
  <si>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</si>
  <si>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</si>
  <si>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</si>
  <si>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</si>
  <si>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</si>
  <si>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</si>
  <si>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</si>
  <si>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</si>
  <si>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</si>
  <si>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</si>
  <si>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</si>
  <si>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</si>
  <si>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</si>
  <si>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</si>
  <si>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</si>
  <si>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</si>
  <si>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</si>
  <si>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</si>
  <si>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</si>
  <si>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</si>
  <si>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</si>
  <si>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</si>
  <si>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</si>
  <si>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</si>
  <si>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</si>
  <si>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</si>
  <si>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</si>
  <si>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</si>
  <si>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</si>
  <si>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</si>
  <si>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</si>
  <si>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</si>
  <si>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</si>
  <si>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</si>
  <si>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</si>
  <si>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</si>
  <si>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</si>
  <si>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</si>
  <si>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</si>
  <si>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</si>
  <si>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</si>
  <si>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</si>
  <si>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</si>
  <si>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</si>
  <si>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</si>
  <si>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</si>
  <si>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</si>
  <si>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</si>
  <si>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</si>
  <si>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</si>
  <si>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</si>
  <si>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</si>
  <si>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</si>
  <si>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</si>
  <si>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</si>
  <si>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</si>
  <si>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</si>
  <si>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</si>
  <si>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</si>
  <si>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</si>
  <si>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</si>
  <si>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</si>
  <si>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</si>
  <si>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</si>
  <si>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</si>
  <si>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</si>
  <si>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</si>
  <si>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</si>
  <si>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</si>
  <si>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</si>
  <si>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</si>
  <si>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</si>
  <si>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</si>
  <si>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</si>
  <si>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</si>
  <si>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</si>
  <si>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</si>
  <si>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</si>
  <si>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</si>
  <si>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</si>
  <si>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</si>
  <si>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</si>
  <si>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</si>
  <si>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</si>
  <si>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</si>
  <si>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</si>
  <si>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</si>
  <si>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</si>
  <si>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</si>
  <si>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</si>
  <si>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</si>
  <si>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</si>
  <si>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</si>
  <si>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</si>
  <si>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</si>
  <si>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</si>
  <si>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</si>
  <si>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</si>
  <si>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</si>
  <si>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</si>
  <si>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</si>
  <si>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</si>
  <si>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</si>
  <si>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</si>
  <si>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</si>
  <si>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</si>
  <si>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</si>
  <si>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</si>
  <si>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</si>
  <si>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</si>
  <si>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</si>
  <si>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</si>
  <si>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</si>
  <si>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</si>
  <si>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</si>
  <si>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</si>
  <si>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</si>
  <si>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</si>
  <si>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</si>
  <si>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</si>
  <si>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</si>
  <si>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</si>
  <si>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</si>
  <si>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</si>
  <si>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</si>
  <si>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</si>
  <si>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</si>
  <si>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</si>
  <si>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</si>
  <si>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</si>
  <si>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</si>
  <si>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</si>
  <si>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</si>
  <si>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</si>
  <si>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</si>
  <si>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</si>
  <si>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</si>
  <si>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</si>
  <si>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</si>
  <si>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</si>
  <si>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</si>
  <si>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</si>
  <si>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</si>
  <si>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</si>
  <si>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</si>
  <si>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</si>
  <si>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</si>
  <si>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</si>
  <si>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</si>
  <si>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</si>
  <si>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</si>
  <si>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</si>
  <si>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</si>
  <si>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</si>
  <si>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</si>
  <si>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</si>
  <si>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</si>
  <si>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</si>
  <si>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</si>
  <si>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</si>
  <si>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</si>
  <si>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</si>
  <si>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</si>
  <si>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</si>
  <si>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</si>
  <si>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</si>
  <si>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</si>
  <si>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</si>
  <si>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</si>
  <si>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</si>
  <si>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</si>
  <si>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</si>
  <si>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</si>
  <si>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</si>
  <si>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</si>
  <si>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</si>
  <si>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</si>
  <si>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</si>
  <si>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</si>
  <si>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</si>
  <si>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</si>
  <si>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</si>
  <si>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</si>
  <si>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</si>
  <si>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</si>
  <si>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</si>
  <si>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</si>
  <si>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</si>
  <si>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</si>
  <si>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</si>
  <si>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</si>
  <si>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</si>
  <si>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</si>
  <si>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</si>
  <si>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</si>
  <si>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</si>
  <si>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</si>
  <si>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</si>
  <si>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</si>
  <si>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</si>
  <si>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</si>
  <si>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</si>
  <si>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</si>
  <si>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</si>
  <si>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</si>
  <si>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</si>
  <si>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</si>
  <si>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</si>
  <si>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</si>
  <si>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</si>
  <si>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</si>
  <si>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</si>
  <si>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</si>
  <si>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</si>
  <si>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</si>
  <si>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</si>
  <si>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</si>
  <si>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</si>
  <si>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</si>
  <si>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</si>
  <si>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</si>
  <si>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</si>
  <si>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</si>
  <si>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</si>
  <si>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</si>
  <si>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</si>
  <si>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</si>
  <si>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</si>
  <si>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</si>
  <si>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</si>
  <si>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</si>
  <si>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</si>
  <si>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</si>
  <si>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</si>
  <si>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</si>
  <si>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</si>
  <si>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</si>
  <si>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</si>
  <si>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</si>
  <si>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</si>
  <si>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</si>
  <si>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</si>
  <si>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</si>
  <si>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</si>
  <si>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</si>
  <si>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</si>
  <si>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</si>
  <si>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</si>
  <si>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</si>
  <si>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</si>
  <si>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</si>
  <si>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</si>
  <si>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</si>
  <si>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</si>
  <si>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</si>
  <si>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</si>
  <si>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</si>
  <si>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</si>
  <si>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</si>
  <si>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</si>
  <si>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</si>
  <si>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</si>
  <si>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</si>
  <si>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</si>
  <si>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</si>
  <si>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</si>
  <si>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</si>
  <si>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</si>
  <si>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</si>
  <si>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</si>
  <si>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</si>
  <si>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</si>
  <si>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</si>
  <si>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</si>
  <si>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</si>
  <si>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</si>
  <si>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</si>
  <si>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</si>
  <si>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</si>
  <si>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</si>
  <si>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</si>
  <si>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</si>
  <si>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</si>
  <si>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</si>
  <si>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</si>
  <si>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</si>
  <si>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</si>
  <si>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</si>
  <si>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</si>
  <si>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</si>
  <si>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</si>
  <si>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</si>
  <si>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</si>
  <si>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</si>
  <si>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</si>
  <si>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</si>
  <si>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</si>
  <si>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</si>
  <si>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</si>
  <si>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</si>
  <si>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</si>
  <si>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</si>
  <si>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</si>
  <si>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</si>
  <si>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</si>
  <si>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</si>
  <si>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</si>
  <si>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</si>
  <si>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</si>
  <si>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</si>
  <si>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</si>
  <si>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</si>
  <si>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</si>
  <si>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</si>
  <si>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</si>
  <si>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</si>
  <si>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</si>
  <si>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</si>
  <si>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</si>
  <si>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</si>
  <si>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</si>
  <si>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</si>
  <si>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</si>
  <si>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</si>
  <si>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</si>
  <si>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</si>
  <si>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</si>
  <si>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</si>
  <si>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</si>
  <si>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</si>
  <si>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</si>
  <si>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</si>
  <si>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</si>
  <si>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</si>
  <si>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</si>
  <si>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</si>
  <si>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</si>
  <si>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</si>
  <si>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</si>
  <si>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</si>
  <si>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</si>
  <si>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</si>
  <si>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</si>
  <si>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</si>
  <si>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</si>
  <si>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</si>
  <si>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</si>
  <si>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</si>
  <si>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</si>
  <si>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</si>
  <si>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</si>
  <si>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</si>
  <si>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</si>
  <si>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</si>
  <si>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</si>
  <si>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</si>
  <si>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</si>
  <si>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</si>
  <si>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</si>
  <si>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</si>
  <si>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</si>
  <si>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</si>
  <si>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</si>
  <si>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</si>
  <si>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</si>
  <si>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</si>
  <si>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</si>
  <si>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</si>
  <si>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</si>
  <si>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</si>
  <si>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</si>
  <si>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</si>
  <si>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</si>
  <si>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</si>
  <si>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</si>
  <si>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</si>
  <si>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</si>
  <si>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</si>
  <si>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</si>
  <si>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</si>
  <si>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</si>
  <si>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</si>
  <si>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</si>
  <si>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</si>
  <si>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</si>
  <si>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</si>
  <si>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</si>
  <si>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</si>
  <si>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</si>
  <si>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</si>
  <si>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</si>
  <si>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</si>
  <si>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</si>
  <si>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</si>
  <si>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</si>
  <si>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</si>
  <si>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</si>
  <si>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</si>
  <si>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</si>
  <si>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</si>
  <si>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</si>
  <si>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</si>
  <si>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</si>
  <si>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</si>
  <si>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</si>
  <si>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</si>
  <si>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</si>
  <si>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</si>
  <si>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</si>
  <si>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</si>
  <si>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</si>
  <si>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</si>
  <si>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</si>
  <si>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</si>
  <si>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</si>
  <si>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</si>
  <si>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</si>
  <si>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</si>
  <si>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</si>
  <si>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</si>
  <si>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</si>
  <si>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</si>
  <si>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</si>
  <si>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</si>
  <si>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</si>
  <si>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</si>
  <si>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</si>
  <si>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</si>
  <si>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</si>
  <si>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</si>
  <si>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</si>
  <si>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</si>
  <si>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</si>
  <si>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</si>
  <si>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</si>
  <si>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</si>
  <si>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</si>
  <si>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</si>
  <si>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</si>
  <si>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</si>
  <si>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</si>
  <si>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</si>
  <si>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</si>
  <si>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</si>
  <si>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</si>
  <si>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</si>
  <si>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</si>
  <si>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</si>
  <si>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</si>
  <si>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</si>
  <si>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</si>
  <si>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</si>
  <si>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</si>
  <si>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</si>
  <si>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</si>
  <si>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</si>
  <si>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</si>
  <si>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</si>
  <si>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</si>
  <si>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</si>
  <si>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</si>
  <si>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</si>
  <si>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</si>
  <si>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</si>
  <si>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</si>
  <si>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</si>
  <si>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</si>
  <si>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</si>
  <si>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</si>
  <si>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</si>
  <si>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</si>
  <si>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</si>
  <si>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</si>
  <si>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</si>
  <si>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</si>
  <si>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</si>
  <si>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</si>
  <si>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</si>
  <si>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</si>
  <si>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</si>
  <si>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</si>
  <si>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</si>
  <si>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</si>
  <si>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</si>
  <si>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</si>
  <si>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</si>
  <si>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</si>
  <si>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</si>
  <si>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</si>
  <si>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</si>
  <si>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</si>
  <si>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</si>
  <si>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</si>
  <si>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</si>
  <si>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</si>
  <si>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</si>
  <si>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</si>
  <si>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</si>
  <si>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</si>
  <si>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</si>
  <si>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</si>
  <si>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</si>
  <si>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</si>
  <si>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</si>
  <si>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</si>
  <si>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</si>
  <si>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</si>
  <si>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</si>
  <si>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</si>
  <si>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</si>
  <si>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</si>
  <si>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</si>
  <si>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</si>
  <si>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</si>
  <si>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</si>
  <si>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</si>
  <si>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</si>
  <si>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</si>
  <si>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</si>
  <si>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</si>
  <si>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</si>
  <si>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</si>
  <si>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</si>
  <si>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</si>
  <si>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</si>
  <si>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</si>
  <si>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</si>
  <si>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</si>
  <si>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</si>
  <si>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</si>
  <si>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</si>
  <si>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</si>
  <si>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</si>
  <si>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</si>
  <si>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</si>
  <si>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</si>
  <si>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</si>
  <si>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</si>
  <si>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</si>
  <si>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</si>
  <si>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</si>
  <si>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</si>
  <si>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</si>
  <si>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</si>
  <si>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</si>
  <si>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</si>
  <si>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</si>
  <si>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</si>
  <si>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</si>
  <si>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</si>
  <si>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</si>
  <si>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</si>
  <si>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</si>
  <si>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</si>
  <si>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</si>
  <si>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</si>
  <si>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</si>
  <si>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</si>
  <si>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</si>
  <si>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</si>
  <si>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</si>
  <si>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</si>
  <si>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</si>
  <si>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</si>
  <si>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</si>
  <si>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</si>
  <si>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</si>
  <si>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</si>
  <si>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</si>
  <si>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</si>
  <si>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</si>
  <si>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</si>
  <si>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</si>
  <si>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</si>
  <si>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</si>
  <si>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</si>
  <si>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</si>
  <si>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</si>
  <si>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</si>
  <si>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</si>
  <si>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</si>
  <si>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</si>
  <si>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</si>
  <si>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</si>
  <si>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</si>
  <si>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</si>
  <si>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</si>
  <si>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</si>
  <si>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</si>
  <si>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</si>
  <si>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</si>
  <si>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</si>
  <si>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</si>
  <si>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</si>
  <si>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</si>
  <si>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</si>
  <si>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</si>
  <si>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</si>
  <si>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</si>
  <si>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</si>
  <si>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</si>
  <si>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</si>
  <si>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</si>
  <si>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</si>
  <si>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</si>
  <si>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</si>
  <si>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</si>
  <si>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</si>
  <si>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</si>
  <si>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</si>
  <si>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</si>
  <si>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</si>
  <si>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</si>
  <si>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</si>
  <si>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</si>
  <si>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</si>
  <si>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</si>
  <si>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</si>
  <si>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</si>
  <si>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</si>
  <si>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</si>
  <si>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</si>
  <si>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</si>
  <si>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</si>
  <si>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</si>
  <si>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</si>
  <si>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</si>
  <si>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</si>
  <si>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</si>
  <si>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</si>
  <si>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</si>
  <si>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</si>
  <si>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</si>
  <si>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</si>
  <si>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</si>
  <si>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</si>
  <si>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</si>
  <si>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</si>
  <si>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</si>
  <si>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</si>
  <si>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</si>
  <si>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</si>
  <si>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</si>
  <si>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</si>
  <si>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</si>
  <si>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</si>
  <si>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</si>
  <si>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</si>
  <si>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</si>
  <si>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</si>
  <si>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</si>
  <si>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</si>
  <si>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</si>
  <si>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</si>
  <si>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</si>
  <si>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</si>
  <si>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</si>
  <si>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</si>
  <si>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</si>
  <si>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</si>
  <si>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</si>
  <si>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</si>
  <si>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</si>
  <si>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</si>
  <si>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</si>
  <si>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</si>
  <si>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</si>
  <si>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</si>
  <si>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</si>
  <si>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</si>
  <si>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</si>
  <si>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</si>
  <si>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</si>
  <si>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</si>
  <si>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</si>
  <si>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</si>
  <si>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</si>
  <si>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</si>
  <si>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</si>
  <si>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</si>
  <si>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</si>
  <si>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</si>
  <si>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</si>
  <si>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</si>
  <si>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</si>
  <si>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</si>
  <si>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</si>
  <si>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</si>
  <si>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</si>
  <si>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</si>
  <si>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</si>
  <si>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</si>
  <si>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</si>
  <si>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</si>
  <si>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</si>
  <si>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</si>
  <si>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</si>
  <si>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</si>
  <si>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</si>
  <si>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</si>
  <si>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</si>
  <si>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</si>
  <si>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</si>
  <si>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</si>
  <si>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</si>
  <si>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</si>
  <si>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</si>
  <si>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</si>
  <si>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</si>
  <si>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</si>
  <si>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</si>
  <si>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</si>
  <si>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</si>
  <si>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</si>
  <si>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</si>
  <si>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</si>
  <si>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</si>
  <si>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</si>
  <si>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</si>
  <si>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</si>
  <si>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</si>
  <si>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</si>
  <si>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</si>
  <si>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</si>
  <si>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</si>
  <si>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</si>
  <si>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</si>
  <si>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</si>
  <si>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</si>
  <si>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</si>
  <si>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</si>
  <si>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</si>
  <si>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</si>
  <si>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</si>
  <si>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</si>
  <si>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</si>
  <si>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</si>
  <si>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</si>
  <si>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</si>
  <si>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</si>
  <si>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</si>
  <si>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</si>
  <si>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</si>
  <si>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</si>
  <si>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</si>
  <si>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</si>
  <si>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</si>
  <si>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</si>
  <si>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</si>
  <si>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</si>
  <si>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</si>
  <si>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</si>
  <si>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</si>
  <si>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</si>
  <si>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</si>
  <si>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</si>
  <si>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</si>
  <si>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</si>
  <si>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</si>
  <si>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</si>
  <si>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</si>
  <si>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</si>
  <si>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</si>
  <si>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</si>
  <si>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</si>
  <si>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</si>
  <si>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</si>
  <si>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</si>
  <si>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</si>
  <si>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</si>
  <si>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</si>
  <si>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</si>
  <si>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</si>
  <si>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</si>
  <si>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</si>
  <si>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</si>
  <si>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</si>
  <si>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</si>
  <si>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</si>
  <si>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</si>
  <si>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</si>
  <si>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</si>
  <si>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</si>
  <si>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</si>
  <si>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</si>
  <si>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</si>
  <si>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</si>
  <si>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</si>
  <si>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</si>
  <si>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</si>
  <si>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</si>
  <si>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</si>
  <si>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</si>
  <si>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</si>
  <si>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</si>
  <si>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</si>
  <si>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</si>
  <si>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</si>
  <si>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</si>
  <si>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</si>
  <si>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</si>
  <si>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</si>
  <si>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</si>
  <si>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</si>
  <si>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</si>
  <si>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</si>
  <si>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</si>
  <si>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</si>
  <si>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</si>
  <si>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</si>
  <si>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</si>
  <si>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</si>
  <si>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</si>
  <si>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</si>
  <si>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</si>
  <si>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</si>
  <si>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</si>
  <si>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</si>
  <si>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</si>
  <si>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</si>
  <si>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</si>
  <si>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</si>
  <si>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</si>
  <si>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</si>
  <si>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</si>
  <si>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</si>
  <si>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</si>
  <si>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</si>
  <si>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</si>
  <si>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</si>
  <si>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</si>
  <si>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</si>
  <si>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</si>
  <si>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</si>
  <si>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</si>
  <si>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</si>
  <si>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</si>
  <si>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</si>
  <si>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</si>
  <si>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</si>
  <si>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</si>
  <si>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</si>
  <si>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</si>
  <si>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</si>
  <si>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</si>
  <si>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</si>
  <si>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</si>
  <si>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</si>
  <si>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</si>
  <si>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</si>
  <si>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</si>
  <si>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</si>
  <si>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</si>
  <si>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</si>
  <si>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</si>
  <si>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</si>
  <si>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</si>
  <si>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</si>
  <si>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</si>
  <si>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</si>
  <si>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</si>
  <si>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</si>
  <si>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</si>
  <si>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</si>
  <si>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</si>
  <si>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</si>
  <si>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</si>
  <si>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</si>
  <si>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</si>
  <si>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</si>
  <si>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</si>
  <si>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</si>
  <si>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</si>
  <si>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</si>
  <si>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</si>
  <si>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</si>
  <si>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</si>
  <si>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</si>
  <si>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</si>
  <si>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</si>
  <si>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</si>
  <si>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</si>
  <si>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</si>
  <si>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</si>
  <si>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</si>
  <si>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</si>
  <si>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</si>
  <si>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</si>
  <si>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</si>
  <si>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</si>
  <si>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</si>
  <si>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</si>
  <si>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</si>
  <si>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</si>
  <si>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</si>
  <si>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</si>
  <si>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</si>
  <si>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</si>
  <si>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</si>
  <si>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</si>
  <si>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</si>
  <si>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</si>
  <si>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</si>
  <si>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</si>
  <si>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</si>
  <si>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</si>
  <si>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</si>
  <si>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</si>
  <si>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</si>
  <si>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</si>
  <si>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</si>
  <si>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</si>
  <si>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</si>
  <si>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</si>
  <si>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</si>
  <si>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</si>
  <si>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</si>
  <si>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</si>
  <si>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</si>
  <si>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</si>
  <si>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</si>
  <si>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</si>
  <si>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</si>
  <si>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</si>
  <si>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</si>
  <si>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</si>
  <si>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</si>
  <si>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</si>
  <si>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</si>
  <si>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</si>
  <si>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</si>
  <si>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</si>
  <si>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</si>
  <si>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</si>
  <si>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</si>
  <si>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</si>
  <si>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</si>
  <si>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</si>
  <si>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</si>
  <si>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</si>
  <si>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</si>
  <si>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</si>
  <si>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</si>
  <si>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</si>
  <si>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</si>
  <si>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</si>
  <si>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</si>
  <si>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</si>
  <si>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</si>
  <si>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</si>
  <si>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</si>
  <si>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</si>
  <si>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</si>
  <si>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</si>
  <si>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</si>
  <si>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</si>
  <si>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</si>
  <si>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</si>
  <si>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</si>
  <si>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</si>
  <si>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</si>
  <si>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</si>
  <si>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</si>
  <si>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</si>
  <si>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</si>
  <si>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</si>
  <si>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</si>
  <si>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</si>
  <si>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</si>
  <si>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</si>
  <si>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</si>
  <si>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</si>
  <si>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</si>
  <si>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</si>
  <si>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</si>
  <si>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</si>
  <si>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</si>
  <si>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</si>
  <si>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</si>
  <si>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</si>
  <si>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</si>
  <si>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</si>
  <si>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</si>
  <si>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</si>
  <si>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</si>
  <si>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</si>
  <si>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</si>
  <si>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</si>
  <si>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</si>
  <si>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</si>
  <si>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</si>
  <si>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</si>
  <si>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</si>
  <si>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</si>
  <si>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</si>
  <si>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</si>
  <si>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</si>
  <si>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</si>
  <si>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</si>
  <si>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</si>
  <si>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</si>
  <si>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</si>
  <si>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</si>
  <si>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</si>
  <si>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</si>
  <si>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</si>
  <si>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</si>
  <si>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</si>
  <si>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</si>
  <si>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</si>
  <si>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</si>
  <si>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</si>
  <si>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</si>
  <si>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</si>
  <si>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</si>
  <si>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</si>
  <si>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</si>
  <si>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</si>
  <si>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</si>
  <si>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</si>
  <si>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</si>
  <si>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</si>
  <si>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</si>
  <si>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</si>
  <si>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</si>
  <si>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</si>
  <si>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</si>
  <si>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</si>
  <si>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</si>
  <si>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</si>
  <si>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</si>
  <si>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</si>
  <si>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</si>
  <si>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</si>
  <si>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</si>
  <si>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</si>
  <si>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</si>
  <si>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</si>
  <si>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</si>
  <si>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</si>
  <si>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</si>
  <si>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</si>
  <si>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</si>
  <si>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</si>
  <si>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</si>
  <si>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</si>
  <si>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</si>
  <si>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</si>
  <si>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</si>
  <si>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</si>
  <si>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</si>
  <si>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</si>
  <si>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</si>
  <si>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</si>
  <si>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</si>
  <si>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</si>
  <si>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</si>
  <si>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</si>
  <si>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</si>
  <si>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</si>
  <si>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</si>
  <si>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</si>
  <si>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</si>
  <si>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</si>
  <si>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</si>
  <si>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</si>
  <si>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</si>
  <si>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</si>
  <si>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</si>
  <si>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</si>
  <si>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</si>
  <si>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</si>
  <si>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</si>
  <si>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</si>
  <si>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</si>
  <si>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</si>
  <si>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</si>
  <si>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</si>
  <si>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</si>
  <si>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</si>
  <si>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</si>
  <si>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</si>
  <si>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</si>
  <si>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</si>
  <si>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</si>
  <si>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</si>
  <si>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</si>
  <si>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</si>
  <si>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</si>
  <si>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</si>
  <si>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</si>
  <si>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</si>
  <si>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</si>
  <si>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</si>
  <si>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</si>
  <si>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</si>
  <si>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</si>
  <si>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</si>
  <si>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</si>
  <si>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</si>
  <si>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</si>
  <si>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</si>
  <si>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</si>
  <si>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</si>
  <si>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</si>
  <si>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</si>
  <si>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</si>
  <si>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</si>
  <si>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</si>
  <si>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</si>
  <si>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</si>
  <si>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</si>
  <si>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</si>
  <si>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</si>
  <si>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</si>
  <si>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</si>
  <si>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</si>
  <si>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</si>
  <si>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</si>
  <si>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</si>
  <si>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</si>
  <si>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</si>
  <si>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</si>
  <si>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</si>
  <si>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</si>
  <si>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</si>
  <si>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</si>
  <si>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</si>
  <si>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</si>
  <si>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</si>
  <si>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</si>
  <si>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</si>
  <si>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</si>
  <si>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</si>
  <si>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</si>
  <si>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</si>
  <si>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</si>
  <si>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</si>
  <si>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</si>
  <si>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</si>
  <si>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</si>
  <si>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</si>
  <si>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</si>
  <si>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</si>
  <si>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</si>
  <si>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</si>
  <si>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</si>
  <si>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</si>
  <si>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</si>
  <si>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</si>
  <si>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</si>
  <si>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</si>
  <si>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</si>
  <si>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</si>
  <si>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</si>
  <si>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</si>
  <si>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</si>
  <si>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</si>
  <si>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</si>
  <si>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</si>
  <si>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</si>
  <si>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</si>
  <si>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</si>
  <si>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</si>
  <si>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</si>
  <si>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</si>
  <si>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</si>
  <si>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</si>
  <si>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</si>
  <si>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</si>
  <si>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</si>
  <si>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</si>
  <si>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</si>
  <si>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</si>
  <si>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</si>
  <si>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</si>
  <si>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</si>
  <si>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</si>
  <si>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</si>
  <si>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</si>
  <si>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</si>
  <si>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</si>
  <si>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</si>
  <si>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</si>
  <si>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</si>
  <si>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</si>
  <si>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</si>
  <si>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</si>
  <si>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</si>
  <si>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</si>
  <si>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</si>
  <si>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</si>
  <si>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</si>
  <si>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</si>
  <si>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</si>
  <si>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</si>
  <si>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</si>
  <si>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</si>
  <si>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</si>
  <si>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</si>
  <si>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</si>
  <si>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</si>
  <si>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</si>
  <si>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</si>
  <si>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</si>
  <si>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</si>
  <si>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</si>
  <si>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</si>
  <si>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</si>
  <si>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</si>
  <si>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</si>
  <si>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</si>
  <si>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</si>
  <si>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</si>
  <si>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</si>
  <si>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</si>
  <si>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</si>
  <si>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</si>
  <si>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</si>
  <si>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</si>
  <si>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</si>
  <si>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</si>
  <si>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</si>
  <si>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</si>
  <si>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</si>
  <si>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</si>
  <si>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</si>
  <si>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</si>
  <si>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</si>
  <si>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</si>
  <si>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</si>
  <si>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</si>
  <si>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</si>
  <si>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</si>
  <si>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</si>
  <si>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</si>
  <si>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</si>
  <si>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</si>
  <si>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</si>
  <si>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</si>
  <si>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</si>
  <si>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</si>
  <si>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</si>
  <si>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</si>
  <si>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</si>
  <si>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</si>
  <si>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</si>
  <si>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</si>
  <si>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</si>
  <si>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</si>
  <si>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</si>
  <si>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</si>
  <si>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</si>
  <si>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</si>
  <si>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</si>
  <si>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</si>
  <si>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</si>
  <si>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</si>
  <si>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</si>
  <si>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</si>
  <si>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</si>
  <si>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</si>
  <si>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</si>
  <si>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</si>
  <si>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</si>
  <si>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</si>
  <si>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</si>
  <si>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</si>
  <si>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</si>
  <si>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</si>
  <si>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</si>
  <si>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</si>
  <si>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</si>
  <si>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</si>
  <si>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</si>
  <si>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</si>
  <si>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</si>
  <si>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</si>
  <si>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</si>
  <si>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</si>
  <si>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</si>
  <si>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</si>
  <si>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</si>
  <si>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</si>
  <si>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</si>
  <si>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</si>
  <si>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</si>
  <si>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</si>
  <si>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</si>
  <si>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</si>
  <si>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</si>
  <si>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</si>
  <si>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</si>
  <si>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</si>
  <si>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</si>
  <si>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</si>
  <si>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</si>
  <si>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</si>
  <si>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</si>
  <si>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</si>
  <si>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</si>
  <si>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</si>
  <si>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</si>
  <si>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</si>
  <si>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</si>
  <si>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</si>
  <si>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</si>
  <si>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</si>
  <si>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</si>
  <si>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</si>
  <si>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</si>
  <si>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</si>
  <si>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</si>
  <si>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</si>
  <si>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</si>
  <si>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</si>
  <si>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</si>
  <si>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</si>
  <si>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</si>
  <si>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</si>
  <si>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</si>
  <si>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</si>
  <si>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</si>
  <si>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</si>
  <si>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</si>
  <si>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</si>
  <si>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</si>
  <si>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</si>
  <si>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</si>
  <si>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</si>
  <si>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</si>
  <si>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</si>
  <si>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</si>
  <si>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</si>
  <si>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</si>
  <si>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</si>
  <si>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</si>
  <si>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</si>
  <si>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</si>
  <si>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</si>
  <si>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</si>
  <si>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</si>
  <si>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</si>
  <si>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</si>
  <si>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</si>
  <si>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</si>
  <si>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</si>
  <si>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</si>
  <si>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</si>
  <si>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</si>
  <si>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</si>
  <si>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</si>
  <si>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</si>
  <si>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</si>
  <si>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</si>
  <si>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</si>
  <si>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</si>
  <si>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</si>
  <si>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</si>
  <si>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</si>
  <si>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</si>
  <si>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</si>
  <si>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</si>
  <si>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</si>
  <si>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</si>
  <si>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</si>
  <si>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</si>
  <si>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</si>
  <si>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</si>
  <si>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</si>
  <si>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</si>
  <si>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</si>
  <si>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</si>
  <si>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</si>
  <si>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</si>
  <si>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</si>
  <si>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</si>
  <si>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</si>
  <si>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</si>
  <si>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</si>
  <si>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</si>
  <si>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</si>
  <si>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</si>
  <si>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</si>
  <si>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</si>
  <si>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</si>
  <si>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</si>
  <si>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</si>
  <si>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</si>
  <si>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</si>
  <si>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</si>
  <si>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</si>
  <si>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</si>
  <si>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</si>
  <si>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</si>
  <si>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</si>
  <si>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</si>
  <si>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</si>
  <si>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</si>
  <si>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</si>
  <si>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</si>
  <si>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</si>
  <si>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</si>
  <si>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</si>
  <si>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</si>
  <si>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</si>
  <si>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</si>
  <si>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</si>
  <si>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</si>
  <si>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</si>
  <si>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</si>
  <si>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</si>
  <si>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</si>
  <si>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</si>
  <si>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</si>
  <si>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</si>
  <si>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</si>
  <si>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</si>
  <si>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</si>
  <si>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</si>
  <si>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</si>
  <si>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</si>
  <si>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</si>
  <si>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</si>
  <si>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</si>
  <si>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</si>
  <si>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</si>
  <si>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</si>
  <si>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</si>
  <si>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</si>
  <si>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</si>
  <si>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</si>
  <si>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</si>
  <si>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</si>
  <si>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</si>
  <si>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</si>
  <si>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</si>
  <si>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</si>
  <si>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</si>
  <si>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</si>
  <si>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</si>
  <si>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</si>
  <si>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</si>
  <si>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</si>
  <si>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</si>
  <si>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</si>
  <si>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</si>
  <si>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</si>
  <si>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</si>
  <si>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</si>
  <si>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</si>
  <si>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</si>
  <si>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</si>
  <si>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</si>
  <si>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</si>
  <si>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</si>
  <si>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</si>
  <si>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</si>
  <si>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</si>
  <si>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</si>
  <si>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</si>
  <si>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</si>
  <si>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</si>
  <si>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</si>
  <si>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</si>
  <si>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</si>
  <si>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</si>
  <si>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</si>
  <si>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</si>
  <si>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</si>
  <si>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</si>
  <si>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</si>
  <si>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</si>
  <si>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</si>
  <si>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</si>
  <si>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</si>
  <si>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</si>
  <si>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</si>
  <si>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</si>
  <si>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</si>
  <si>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</si>
  <si>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</si>
  <si>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</si>
  <si>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</si>
  <si>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</si>
  <si>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</si>
  <si>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</si>
  <si>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</si>
  <si>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</si>
  <si>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</si>
  <si>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</si>
  <si>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</si>
  <si>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</si>
  <si>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</si>
  <si>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</si>
  <si>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</si>
  <si>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</si>
  <si>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</si>
  <si>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</si>
  <si>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</si>
  <si>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</si>
  <si>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</si>
  <si>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</si>
  <si>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</si>
  <si>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</si>
  <si>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</si>
  <si>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</si>
  <si>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</si>
  <si>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</si>
  <si>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</si>
  <si>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</si>
  <si>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</si>
  <si>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</si>
  <si>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</si>
  <si>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</si>
  <si>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</si>
  <si>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</si>
  <si>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</si>
  <si>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</si>
  <si>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</si>
  <si>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</si>
  <si>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</si>
  <si>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</si>
  <si>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</si>
  <si>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</si>
  <si>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</si>
  <si>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</si>
  <si>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</si>
  <si>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</si>
  <si>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</si>
  <si>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</si>
  <si>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</si>
  <si>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</si>
  <si>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</si>
  <si>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</si>
  <si>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</si>
  <si>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</si>
  <si>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</si>
  <si>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</si>
  <si>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</si>
  <si>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</si>
  <si>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</si>
  <si>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</si>
  <si>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</si>
  <si>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</si>
  <si>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</si>
  <si>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</si>
  <si>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</si>
  <si>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</si>
  <si>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</si>
  <si>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</si>
  <si>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</si>
  <si>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</si>
  <si>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</si>
  <si>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</si>
  <si>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</si>
  <si>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</si>
  <si>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</si>
  <si>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</si>
  <si>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</si>
  <si>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</si>
  <si>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</si>
  <si>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</si>
  <si>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</si>
  <si>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</si>
  <si>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</si>
  <si>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</si>
  <si>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</si>
  <si>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</si>
  <si>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</si>
  <si>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</si>
  <si>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</si>
  <si>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</si>
  <si>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</si>
  <si>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</si>
  <si>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</si>
  <si>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</si>
  <si>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</si>
  <si>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</si>
  <si>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</si>
  <si>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</si>
  <si>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</si>
  <si>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</si>
  <si>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</si>
  <si>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</si>
  <si>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</si>
  <si>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</si>
  <si>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</si>
  <si>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</si>
  <si>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</si>
  <si>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</si>
  <si>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</si>
  <si>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</si>
  <si>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</si>
  <si>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</si>
  <si>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</si>
  <si>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</si>
  <si>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</si>
  <si>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</si>
  <si>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</si>
  <si>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</si>
  <si>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</si>
  <si>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</si>
  <si>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</si>
  <si>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</si>
  <si>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</si>
  <si>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</si>
  <si>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</si>
  <si>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</si>
  <si>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</si>
  <si>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</si>
  <si>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</si>
  <si>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</si>
  <si>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</si>
  <si>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</si>
  <si>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</si>
  <si>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</si>
  <si>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</si>
  <si>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</si>
  <si>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</si>
  <si>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</si>
  <si>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</si>
  <si>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</si>
  <si>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</si>
  <si>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</si>
  <si>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</si>
  <si>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</si>
  <si>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</si>
  <si>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</si>
  <si>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</si>
  <si>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</si>
  <si>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</si>
  <si>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</si>
  <si>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Fora ponta</t>
  </si>
  <si>
    <t>Energia suprimento permissionária</t>
  </si>
  <si>
    <t>Verde</t>
  </si>
  <si>
    <t>CATIVO</t>
  </si>
  <si>
    <t>Água, esgoto e saneamento</t>
  </si>
  <si>
    <t>Convencional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</si>
  <si>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</si>
  <si>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</si>
  <si>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</si>
  <si>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</si>
  <si>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</si>
  <si>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</si>
  <si>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B2</t>
  </si>
  <si>
    <t>Poder público</t>
  </si>
  <si>
    <t>B4</t>
  </si>
  <si>
    <t>Iluminação pública</t>
  </si>
  <si>
    <t>Iluminação pública – B4a</t>
  </si>
  <si>
    <t>CELESC-DIS</t>
  </si>
  <si>
    <t>RESOLUÇÃO HOMOLOGATÓRIA Nº 3.094, DE 16 DE AGOSTO DE 2022</t>
  </si>
  <si>
    <t>CELESC DISTRIBUIÇÃO S.A</t>
  </si>
  <si>
    <t>Azul</t>
  </si>
  <si>
    <t>COOPERATIVA DE ELETRIFICACAO LAURO MULLER</t>
  </si>
  <si>
    <t>131728143</t>
  </si>
  <si>
    <t>131729425</t>
  </si>
  <si>
    <t>135334112</t>
  </si>
  <si>
    <t>135500345</t>
  </si>
  <si>
    <t>138230539</t>
  </si>
  <si>
    <t>138231292</t>
  </si>
  <si>
    <t>140758585</t>
  </si>
  <si>
    <t>140944349</t>
  </si>
  <si>
    <t>144219928</t>
  </si>
  <si>
    <t>144220242</t>
  </si>
  <si>
    <t>147979991</t>
  </si>
  <si>
    <t>147985291</t>
  </si>
  <si>
    <t>151933654</t>
  </si>
  <si>
    <t>152115948</t>
  </si>
  <si>
    <t>156064610</t>
  </si>
  <si>
    <t>156065282</t>
  </si>
  <si>
    <t>82044248</t>
  </si>
  <si>
    <t>82580891</t>
  </si>
  <si>
    <t>85888707</t>
  </si>
  <si>
    <t>86062686</t>
  </si>
  <si>
    <t>88666583</t>
  </si>
  <si>
    <t>88839549</t>
  </si>
  <si>
    <t>Agropecuária rural</t>
  </si>
  <si>
    <t>IRRIG./AQUIC.</t>
  </si>
  <si>
    <t>IRRIG./AQUIC. PR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</si>
  <si>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</si>
  <si>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</si>
  <si>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</si>
  <si>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</si>
  <si>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</si>
  <si>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</si>
  <si>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</si>
  <si>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</si>
  <si>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</si>
  <si>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</si>
  <si>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</si>
  <si>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</si>
  <si>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</si>
  <si>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 xml:space="preserve">PRIME ENERGY Comercializadora de Energia </t>
  </si>
  <si>
    <t>Cota de Angra</t>
  </si>
  <si>
    <t xml:space="preserve">Cota total de Angra </t>
  </si>
  <si>
    <t>Diferimento de Parcela B</t>
  </si>
  <si>
    <t>Diferimento de Energia</t>
  </si>
  <si>
    <t xml:space="preserve">Repasse de ICMS </t>
  </si>
  <si>
    <t>Diferimento de PIS COFINS</t>
  </si>
  <si>
    <t>COOPERMILA</t>
  </si>
  <si>
    <t>12 meses</t>
  </si>
  <si>
    <t>8 meses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</si>
  <si>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</si>
  <si>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</si>
  <si>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</si>
  <si>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</si>
  <si>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Diferimento Pis Cofins TUSD</t>
  </si>
  <si>
    <t>Diferimento Pis Cofins TE</t>
  </si>
  <si>
    <t>Reversão do Diferimento de Pis Cofins</t>
  </si>
  <si>
    <t>101621537</t>
  </si>
  <si>
    <t>101622769</t>
  </si>
  <si>
    <t>160772100</t>
  </si>
  <si>
    <t>160772136</t>
  </si>
  <si>
    <t>164663460</t>
  </si>
  <si>
    <t>164669697</t>
  </si>
  <si>
    <t>Ofício 37/2022, de 29/08/22</t>
  </si>
  <si>
    <t>Hélvio Neves Guerra</t>
  </si>
  <si>
    <t>48500.004970/2021-11</t>
  </si>
  <si>
    <t>Subvenção Baixa Densidade Carga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</si>
  <si>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</si>
  <si>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</si>
  <si>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</si>
  <si>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</si>
  <si>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</si>
  <si>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 xml:space="preserve">Diferimento CUSD </t>
  </si>
  <si>
    <t>Diferimento da Previsão do Risco Hidrológico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</si>
</sst>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  <numFmt numFmtId="281" formatCode="_(* #,##0.00000000_);_(* \(#,##0.00000000\);_(* &quot;-&quot;??_);_(@_)"/>
    <numFmt numFmtId="282" formatCode="0.0000000%"/>
  </numFmts>
  <fonts count="335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1"/>
      <color rgb="FFFF0000"/>
      <name val="Microsoft New Tai Lue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96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19" borderId="10" xfId="847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0" fontId="326" fillId="113" borderId="207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168" fontId="210" fillId="0" borderId="0" xfId="863" applyFont="1"/>
    <xf numFmtId="10" fontId="209" fillId="59" borderId="166" xfId="847" applyNumberFormat="1" applyFont="1" applyFill="1" applyBorder="1" applyAlignment="1" applyProtection="1">
      <alignment horizontal="right"/>
      <protection hidden="1"/>
    </xf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67" fontId="31" fillId="61" borderId="180" xfId="815" applyFont="1" applyFill="1" applyBorder="1" applyAlignment="1">
      <alignment horizontal="center" vertical="center"/>
    </xf>
    <xf numFmtId="0" fontId="331" fillId="42" borderId="10" xfId="0" applyFont="1" applyFill="1" applyBorder="1"/>
    <xf numFmtId="10" fontId="331" fillId="42" borderId="0" xfId="847" applyNumberFormat="1" applyFont="1" applyFill="1" applyBorder="1" applyAlignment="1">
      <alignment horizontal="left"/>
    </xf>
    <xf numFmtId="10" fontId="331" fillId="42" borderId="10" xfId="847" applyNumberFormat="1" applyFont="1" applyFill="1" applyBorder="1" applyAlignment="1">
      <alignment horizontal="left"/>
    </xf>
    <xf numFmtId="0" fontId="331" fillId="42" borderId="0" xfId="2578" applyNumberFormat="1" applyFont="1" applyFill="1" applyBorder="1" applyAlignment="1">
      <alignment horizontal="center"/>
    </xf>
    <xf numFmtId="0" fontId="331" fillId="42" borderId="10" xfId="863" applyNumberFormat="1" applyFont="1" applyFill="1" applyBorder="1" applyAlignment="1">
      <alignment horizontal="center"/>
    </xf>
    <xf numFmtId="0" fontId="331" fillId="42" borderId="0" xfId="863" applyNumberFormat="1" applyFont="1" applyFill="1" applyBorder="1" applyAlignment="1">
      <alignment horizontal="center"/>
    </xf>
    <xf numFmtId="0" fontId="331" fillId="42" borderId="10" xfId="2578" applyNumberFormat="1" applyFont="1" applyFill="1" applyBorder="1" applyAlignment="1">
      <alignment horizontal="center"/>
    </xf>
    <xf numFmtId="167" fontId="331" fillId="42" borderId="0" xfId="815" applyFont="1" applyFill="1" applyBorder="1"/>
    <xf numFmtId="168" fontId="258" fillId="0" borderId="0" xfId="863" applyFont="1" applyAlignment="1">
      <alignment horizontal="center"/>
    </xf>
    <xf numFmtId="168" fontId="31" fillId="0" borderId="166" xfId="0" applyNumberFormat="1" applyFont="1" applyBorder="1"/>
    <xf numFmtId="0" fontId="332" fillId="43" borderId="186" xfId="907" applyFont="1" applyFill="1" applyBorder="1"/>
    <xf numFmtId="0" fontId="114" fillId="0" borderId="0" xfId="0" applyFont="1" applyAlignment="1">
      <alignment vertical="center"/>
    </xf>
    <xf numFmtId="14" fontId="206" fillId="0" borderId="0" xfId="0" applyNumberFormat="1" applyFont="1" applyAlignment="1">
      <alignment horizontal="right"/>
    </xf>
    <xf numFmtId="195" fontId="206" fillId="0" borderId="0" xfId="0" applyNumberFormat="1" applyFont="1" applyAlignment="1">
      <alignment horizontal="right"/>
    </xf>
    <xf numFmtId="170" fontId="209" fillId="0" borderId="0" xfId="0" applyNumberFormat="1" applyFont="1"/>
    <xf numFmtId="170" fontId="209" fillId="0" borderId="0" xfId="863" applyNumberFormat="1" applyFont="1"/>
    <xf numFmtId="0" fontId="210" fillId="61" borderId="0" xfId="0" applyFont="1" applyFill="1" applyAlignment="1">
      <alignment horizontal="right"/>
    </xf>
    <xf numFmtId="170" fontId="210" fillId="61" borderId="0" xfId="0" applyNumberFormat="1" applyFont="1" applyFill="1"/>
    <xf numFmtId="170" fontId="206" fillId="99" borderId="0" xfId="863" applyNumberFormat="1" applyFont="1" applyFill="1"/>
    <xf numFmtId="174" fontId="206" fillId="42" borderId="0" xfId="0" applyNumberFormat="1" applyFont="1" applyFill="1"/>
    <xf numFmtId="1" fontId="206" fillId="99" borderId="0" xfId="863" applyNumberFormat="1" applyFont="1" applyFill="1"/>
    <xf numFmtId="281" fontId="206" fillId="0" borderId="187" xfId="863" applyNumberFormat="1" applyFont="1" applyBorder="1"/>
    <xf numFmtId="0" fontId="206" fillId="108" borderId="187" xfId="0" applyFont="1" applyFill="1" applyBorder="1" applyAlignment="1">
      <alignment horizontal="right"/>
    </xf>
    <xf numFmtId="282" fontId="206" fillId="0" borderId="0" xfId="0" applyNumberFormat="1" applyFont="1"/>
    <xf numFmtId="282" fontId="206" fillId="59" borderId="0" xfId="0" applyNumberFormat="1" applyFont="1" applyFill="1"/>
    <xf numFmtId="0" fontId="206" fillId="59" borderId="187" xfId="0" applyFont="1" applyFill="1" applyBorder="1" applyAlignment="1">
      <alignment horizontal="center"/>
    </xf>
    <xf numFmtId="167" fontId="206" fillId="0" borderId="187" xfId="815" applyFont="1" applyBorder="1"/>
    <xf numFmtId="167" fontId="206" fillId="99" borderId="187" xfId="815" applyFont="1" applyFill="1" applyBorder="1"/>
    <xf numFmtId="0" fontId="284" fillId="115" borderId="10" xfId="0" applyFont="1" applyFill="1" applyBorder="1"/>
    <xf numFmtId="43" fontId="294" fillId="61" borderId="29" xfId="43408" applyFont="1" applyFill="1" applyBorder="1"/>
    <xf numFmtId="167" fontId="283" fillId="0" borderId="190" xfId="815" applyFont="1" applyBorder="1"/>
    <xf numFmtId="167" fontId="283" fillId="0" borderId="211" xfId="815" applyFont="1" applyFill="1" applyBorder="1"/>
    <xf numFmtId="167" fontId="283" fillId="0" borderId="192" xfId="815" applyFont="1" applyFill="1" applyBorder="1"/>
    <xf numFmtId="168" fontId="284" fillId="111" borderId="10" xfId="863" applyFont="1" applyFill="1" applyBorder="1"/>
    <xf numFmtId="0" fontId="334" fillId="0" borderId="0" xfId="0" pivotButton="1" applyFont="1"/>
    <xf numFmtId="0" fontId="334" fillId="0" borderId="0" xfId="0" applyFont="1"/>
    <xf numFmtId="205" fontId="334" fillId="0" borderId="0" xfId="0" applyNumberFormat="1" applyFont="1" applyAlignment="1">
      <alignment horizontal="left"/>
    </xf>
    <xf numFmtId="168" fontId="334" fillId="0" borderId="0" xfId="0" applyNumberFormat="1" applyFont="1"/>
    <xf numFmtId="0" fontId="284" fillId="42" borderId="20" xfId="0" applyFont="1" applyFill="1" applyBorder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61" borderId="167" xfId="815" applyFont="1" applyFill="1" applyBorder="1" applyAlignment="1">
      <alignment horizontal="center" vertical="center"/>
    </xf>
    <xf numFmtId="167" fontId="31" fillId="61" borderId="176" xfId="815" applyFont="1" applyFill="1" applyBorder="1" applyAlignment="1">
      <alignment horizontal="center" vertical="center"/>
    </xf>
    <xf numFmtId="167" fontId="31" fillId="61" borderId="170" xfId="815" applyFont="1" applyFill="1" applyBorder="1" applyAlignment="1">
      <alignment horizontal="center" vertical="center"/>
    </xf>
    <xf numFmtId="167" fontId="31" fillId="61" borderId="175" xfId="815" applyFont="1" applyFill="1" applyBorder="1" applyAlignment="1">
      <alignment horizontal="center" vertical="center"/>
    </xf>
    <xf numFmtId="167" fontId="31" fillId="61" borderId="172" xfId="815" applyFont="1" applyFill="1" applyBorder="1" applyAlignment="1">
      <alignment horizontal="center" vertical="center"/>
    </xf>
    <xf numFmtId="167" fontId="31" fillId="61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333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06" fillId="99" borderId="188" xfId="0" applyFont="1" applyFill="1" applyBorder="1" applyAlignment="1">
      <alignment horizontal="right"/>
    </xf>
    <xf numFmtId="0" fontId="206" fillId="99" borderId="192" xfId="0" applyFont="1" applyFill="1" applyBorder="1" applyAlignment="1">
      <alignment horizontal="right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[P_RTA_2022_COOPERMILA.xlsx]Calc_Mercado!Tabela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1414.837</c:v>
                </c:pt>
                <c:pt idx="1">
                  <c:v>1433.152</c:v>
                </c:pt>
                <c:pt idx="2">
                  <c:v>1568.3020000000001</c:v>
                </c:pt>
                <c:pt idx="3">
                  <c:v>1511.442</c:v>
                </c:pt>
                <c:pt idx="4">
                  <c:v>1620.0319999999997</c:v>
                </c:pt>
                <c:pt idx="5">
                  <c:v>1357.6620000000003</c:v>
                </c:pt>
                <c:pt idx="6">
                  <c:v>1559.3339999999998</c:v>
                </c:pt>
                <c:pt idx="7">
                  <c:v>1468.4359999999997</c:v>
                </c:pt>
                <c:pt idx="8">
                  <c:v>1543.6909999999996</c:v>
                </c:pt>
                <c:pt idx="9">
                  <c:v>1467.1499999999999</c:v>
                </c:pt>
                <c:pt idx="10">
                  <c:v>1512.5160000000001</c:v>
                </c:pt>
                <c:pt idx="11">
                  <c:v>1554.3790000000001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7.0931497626254267E-2</c:v>
                </c:pt>
                <c:pt idx="1">
                  <c:v>4.7166758028412679E-4</c:v>
                </c:pt>
                <c:pt idx="2">
                  <c:v>-0.17011067586984663</c:v>
                </c:pt>
                <c:pt idx="3">
                  <c:v>-7.5810949885504516E-3</c:v>
                </c:pt>
                <c:pt idx="4">
                  <c:v>0</c:v>
                </c:pt>
                <c:pt idx="5">
                  <c:v>0.1013</c:v>
                </c:pt>
                <c:pt idx="6">
                  <c:v>-0.11820791344066306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0.27801446827403015</c:v>
                </c:pt>
                <c:pt idx="1">
                  <c:v>0.34850052388527941</c:v>
                </c:pt>
                <c:pt idx="2">
                  <c:v>0.1810326121715167</c:v>
                </c:pt>
                <c:pt idx="3">
                  <c:v>0</c:v>
                </c:pt>
                <c:pt idx="4">
                  <c:v>0</c:v>
                </c:pt>
                <c:pt idx="5">
                  <c:v>2.446164613095745E-2</c:v>
                </c:pt>
                <c:pt idx="6">
                  <c:v>0.13920614204698795</c:v>
                </c:pt>
                <c:pt idx="7">
                  <c:v>1.2368067620033604E-3</c:v>
                </c:pt>
                <c:pt idx="8">
                  <c:v>2.7547800729224949E-2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2978249.779672686</c:v>
                </c:pt>
                <c:pt idx="1">
                  <c:v>2890068.7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5601476.3360112496</c:v>
                </c:pt>
                <c:pt idx="1">
                  <c:v>3622798.7063669376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1876418.2265742095</c:v>
                </c:pt>
                <c:pt idx="1">
                  <c:v>1881904.5259199997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1175563.1888918581</c:v>
                </c:pt>
                <c:pt idx="1">
                  <c:v>2000617.6240269083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0.2083923382150597</c:v>
                </c:pt>
                <c:pt idx="1">
                  <c:v>0.26122683287850545</c:v>
                </c:pt>
                <c:pt idx="2">
                  <c:v>0.13569728790667576</c:v>
                </c:pt>
                <c:pt idx="3">
                  <c:v>0.14425725746423418</c:v>
                </c:pt>
                <c:pt idx="4">
                  <c:v>0.25042181304037453</c:v>
                </c:pt>
                <c:pt idx="5" formatCode="0.00%">
                  <c:v>4.4704951504609166E-6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Coopermila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475.41</c:v>
                </c:pt>
                <c:pt idx="1">
                  <c:v>506.32999999999993</c:v>
                </c:pt>
                <c:pt idx="2">
                  <c:v>538.1</c:v>
                </c:pt>
                <c:pt idx="3">
                  <c:v>614.15</c:v>
                </c:pt>
                <c:pt idx="4">
                  <c:v>533.16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415.00180150833108</c:v>
                </c:pt>
                <c:pt idx="1">
                  <c:v>435.53965233909338</c:v>
                </c:pt>
                <c:pt idx="2">
                  <c:v>492.26552162719253</c:v>
                </c:pt>
                <c:pt idx="3">
                  <c:v>645.43560066530131</c:v>
                </c:pt>
                <c:pt idx="4">
                  <c:v>700.86207014705963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389.018350756183</c:v>
                </c:pt>
                <c:pt idx="1">
                  <c:v>402.35629423368533</c:v>
                </c:pt>
                <c:pt idx="2">
                  <c:v>412.16761067647172</c:v>
                </c:pt>
                <c:pt idx="3">
                  <c:v>452.06450234168466</c:v>
                </c:pt>
                <c:pt idx="4">
                  <c:v>491.51748829157663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Coopermila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286.64999999999998</c:v>
                </c:pt>
                <c:pt idx="1">
                  <c:v>323.81</c:v>
                </c:pt>
                <c:pt idx="2">
                  <c:v>401.27</c:v>
                </c:pt>
                <c:pt idx="3" formatCode="_(* #,##0.00_);_(* \(#,##0.00\);_(* &quot;-&quot;??_);_(@_)">
                  <c:v>420.08</c:v>
                </c:pt>
                <c:pt idx="4" formatCode="_(* #,##0.00_);_(* \(#,##0.00\);_(* &quot;-&quot;??_);_(@_)">
                  <c:v>440.25</c:v>
                </c:pt>
                <c:pt idx="5" formatCode="_(* #,##0.00_);_(* \(#,##0.00\);_(* &quot;-&quot;??_);_(@_)">
                  <c:v>475.41</c:v>
                </c:pt>
                <c:pt idx="6" formatCode="_(* #,##0.00_);_(* \(#,##0.00\);_(* &quot;-&quot;??_);_(@_)">
                  <c:v>506.32999999999993</c:v>
                </c:pt>
                <c:pt idx="7" formatCode="_(* #,##0.00_);_(* \(#,##0.00\);_(* &quot;-&quot;??_);_(@_)">
                  <c:v>538.1</c:v>
                </c:pt>
                <c:pt idx="8" formatCode="_(* #,##0.00_);_(* \(#,##0.00\);_(* &quot;-&quot;??_);_(@_)">
                  <c:v>614.15</c:v>
                </c:pt>
                <c:pt idx="9" formatCode="_(* #,##0.00_);_(* \(#,##0.00\);_(* &quot;-&quot;??_);_(@_)">
                  <c:v>533.16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286.64999999999998</c:v>
                </c:pt>
                <c:pt idx="1">
                  <c:v>323.36838740000383</c:v>
                </c:pt>
                <c:pt idx="2">
                  <c:v>347.79320023680702</c:v>
                </c:pt>
                <c:pt idx="3">
                  <c:v>387.75107502806117</c:v>
                </c:pt>
                <c:pt idx="4">
                  <c:v>381.11567838384747</c:v>
                </c:pt>
                <c:pt idx="5">
                  <c:v>415.00180150833108</c:v>
                </c:pt>
                <c:pt idx="6">
                  <c:v>435.53965233909338</c:v>
                </c:pt>
                <c:pt idx="7">
                  <c:v>492.26552162719253</c:v>
                </c:pt>
                <c:pt idx="8">
                  <c:v>645.43560066530131</c:v>
                </c:pt>
                <c:pt idx="9">
                  <c:v>700.86207014705963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286.64999999999998</c:v>
                </c:pt>
                <c:pt idx="1">
                  <c:v>305.31942806532561</c:v>
                </c:pt>
                <c:pt idx="2">
                  <c:v>334.40256109180206</c:v>
                </c:pt>
                <c:pt idx="3">
                  <c:v>364.41351091667889</c:v>
                </c:pt>
                <c:pt idx="4">
                  <c:v>373.36317328466555</c:v>
                </c:pt>
                <c:pt idx="5">
                  <c:v>389.018350756183</c:v>
                </c:pt>
                <c:pt idx="6">
                  <c:v>402.35629423368533</c:v>
                </c:pt>
                <c:pt idx="7">
                  <c:v>412.16761067647172</c:v>
                </c:pt>
                <c:pt idx="8">
                  <c:v>452.06450234168466</c:v>
                </c:pt>
                <c:pt idx="9">
                  <c:v>491.51748829157663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92</xdr:row>
      <xdr:rowOff>0</xdr:rowOff>
    </xdr:from>
    <xdr:to>
      <xdr:col>2</xdr:col>
      <xdr:colOff>1239267</xdr:colOff>
      <xdr:row>115</xdr:row>
      <xdr:rowOff>135912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011" y="18656968"/>
          <a:ext cx="4704762" cy="4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249667</xdr:colOff>
      <xdr:row>126</xdr:row>
      <xdr:rowOff>173889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45906" y="18637624"/>
          <a:ext cx="5217459" cy="59036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6.48042349537" createdVersion="4" refreshedVersion="8" minRefreshableVersion="3" recordCount="245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248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3060"/>
    </cacheField>
    <cacheField name="Daj" numFmtId="4">
      <sharedItems containsSemiMixedTypes="0" containsString="0" containsNumber="1" containsInteger="1" minValue="0" maxValue="3060"/>
    </cacheField>
    <cacheField name="TUSD_E" numFmtId="4">
      <sharedItems containsSemiMixedTypes="0" containsString="0" containsNumber="1" minValue="-0.745" maxValue="700.125"/>
    </cacheField>
    <cacheField name="TUSD_Eaj" numFmtId="4">
      <sharedItems containsSemiMixedTypes="0" containsString="0" containsNumber="1" minValue="-0.745" maxValue="700.125"/>
    </cacheField>
    <cacheField name="TE_E" numFmtId="4">
      <sharedItems containsSemiMixedTypes="0" containsString="0" containsNumber="1" minValue="-0.745" maxValue="700.125"/>
    </cacheField>
    <cacheField name="TE_Eaj" numFmtId="4">
      <sharedItems containsSemiMixedTypes="0" containsString="0" containsNumber="1" minValue="-0.745" maxValue="700.125"/>
    </cacheField>
    <cacheField name="TUSD/KW" numFmtId="4">
      <sharedItems containsString="0" containsBlank="1" containsNumber="1" minValue="25.76" maxValue="78.569999999999993"/>
    </cacheField>
    <cacheField name="TUSD/MWh" numFmtId="4">
      <sharedItems containsString="0" containsBlank="1" containsNumber="1" minValue="72.290000000000006" maxValue="1962.25"/>
    </cacheField>
    <cacheField name="TE" numFmtId="4">
      <sharedItems containsString="0" containsBlank="1" containsNumber="1" minValue="163.75" maxValue="297.72000000000003"/>
    </cacheField>
    <cacheField name="ReceitaD" numFmtId="4">
      <sharedItems containsString="0" containsBlank="1" containsNumber="1" minValue="15687.84" maxValue="78825.600000000006"/>
    </cacheField>
    <cacheField name="ReceitaE" numFmtId="4">
      <sharedItems containsString="0" containsBlank="1" containsNumber="1" minValue="-516.24775" maxValue="366842.18640000006"/>
    </cacheField>
    <cacheField name="Total" numFmtId="4">
      <sharedItems containsString="0" containsBlank="1" containsNumber="1" minValue="-516.24775" maxValue="366842.18640000006"/>
    </cacheField>
    <cacheField name="Total com Tar de aplicação" numFmtId="4">
      <sharedItems containsString="0" containsBlank="1" containsNumber="1" minValue="-457.54174999999998" maxValue="325126.09680000006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45.155655648806622" maxValue="36919.06707070479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74.051139866482217" maxValue="52620.243001606388"/>
    </cacheField>
    <cacheField name="DISTRIBUICAO" numFmtId="4">
      <sharedItems containsString="0" containsBlank="1" containsNumber="1" minValue="-149.10788121701671" maxValue="105955.05966877707"/>
    </cacheField>
    <cacheField name="EnergiaRevenda" numFmtId="4">
      <sharedItems containsString="0" containsBlank="1" containsNumber="1" minValue="-221.80427344725558" maxValue="208443.91536544941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6.9813111168886612" maxValue="6560.7925445794281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0.66333826761647274" maxValue="471.3637210335836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18.48628363760016" maxValue="13136.229083860973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1.61"/>
    </cacheField>
    <cacheField name="Cofins" numFmtId="4">
      <sharedItems containsSemiMixedTypes="0" containsString="0" containsNumber="1" minValue="0" maxValue="7.51"/>
    </cacheField>
    <cacheField name="ICMS" numFmtId="4">
      <sharedItems containsSemiMixedTypes="0" containsString="0" containsNumber="1" minValue="-155.68" maxValue="159863.46"/>
    </cacheField>
    <cacheField name="UC" numFmtId="4">
      <sharedItems containsSemiMixedTypes="0" containsString="0" containsNumber="1" containsInteger="1" minValue="0" maxValue="950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1.386341000000002" maxValue="30.879461999999993"/>
    </cacheField>
    <cacheField name="Subs_Rural" numFmtId="4">
      <sharedItems containsString="0" containsBlank="1" containsNumber="1" minValue="-54.906499999999994" maxValue="39016.190399999992"/>
    </cacheField>
    <cacheField name="Subs_Irrigante" numFmtId="4">
      <sharedItems containsString="0" containsBlank="1" containsNumber="1" minValue="1.2084900000000001" maxValue="6.0424499999999988"/>
    </cacheField>
    <cacheField name="Subs_BaixaRenda" numFmtId="4">
      <sharedItems containsString="0" containsBlank="1" containsNumber="1" minValue="5.6466200000000004" maxValue="119.53227000000001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40.29055708485575" maxValue="215151.42978541375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405.33749999999998" maxValue="286108.82550000004"/>
    </cacheField>
    <cacheField name="FinAj" numFmtId="4">
      <sharedItems containsSemiMixedTypes="0" containsString="0" containsNumber="1" minValue="-36714.446100000059" maxValue="16405.865949999948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48481.719360000025" maxValue="7456.3312499999938"/>
    </cacheField>
    <cacheField name="FinPostTE" numFmtId="4">
      <sharedItems containsSemiMixedTypes="0" containsString="0" containsNumber="1" minValue="-9.5210999999999792" maxValue="8947.5974999999817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290.53962287121249" maxValue="16401.54324937233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05.5204710360631" maxValue="0.5706787237469797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9.5177063636367336" maxValue="8944.408278981456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0.79325351438466996" maxValue="563.68062347265732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7.5385966194687413" maxValue="6163.5237095822595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.0167100925361128" maxValue="955.4686624655651"/>
    </cacheField>
    <cacheField name="finCT_TFSEE" numFmtId="4">
      <sharedItems containsString="0" containsBlank="1" containsNumber="1" minValue="-7.9071705040696827E-2" maxValue="56.187822919334963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8183.9015808061977" maxValue="41121.081834592718"/>
    </cacheField>
    <cacheField name="DIST_E" numFmtId="4">
      <sharedItems containsString="0" containsBlank="1" containsNumber="1" minValue="-149.10788121701671" maxValue="105955.05966877707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48481.719360000017" maxValue="7456.3312499999956"/>
    </cacheField>
    <cacheField name="Fin_TE" numFmtId="4">
      <sharedItems containsString="0" containsBlank="1" containsNumber="1" minValue="-9.5210999999999615" maxValue="8947.5974999999744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54777.28594713987" maxValue="77.0866919610028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32" maxValue="232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38.773000000000003"/>
    <n v="38.773000000000003"/>
    <n v="38.773000000000003"/>
    <n v="38.773000000000003"/>
    <m/>
    <n v="395.23"/>
    <n v="297.72000000000003"/>
    <m/>
    <n v="26867.750350000002"/>
    <n v="26867.750350000002"/>
    <n v="23812.43795"/>
    <n v="0"/>
    <n v="2350.0942771425225"/>
    <n v="0"/>
    <n v="0"/>
    <n v="0"/>
    <n v="3853.9393906618998"/>
    <n v="7760.21460191596"/>
    <n v="11543.647106537504"/>
    <n v="0"/>
    <n v="0"/>
    <n v="0"/>
    <n v="0"/>
    <n v="0"/>
    <n v="363.3374173625827"/>
    <m/>
    <n v="34.522972684957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10560467204175"/>
    <n v="0"/>
    <n v="0.25"/>
    <n v="1.19"/>
    <n v="5237.29"/>
    <n v="263"/>
    <m/>
    <m/>
    <m/>
    <m/>
    <m/>
    <m/>
    <m/>
    <m/>
    <m/>
    <n v="12505.752711209547"/>
    <m/>
    <m/>
    <m/>
    <m/>
    <m/>
    <m/>
    <m/>
    <m/>
    <m/>
    <m/>
    <m/>
    <m/>
    <n v="23810.595500000003"/>
    <n v="-3057.1848500000015"/>
    <m/>
    <m/>
    <m/>
    <m/>
    <n v="-3550.831340000002"/>
    <n v="495.51893999999896"/>
    <n v="30"/>
    <n v="956.29620880374932"/>
    <n v="0"/>
    <n v="0"/>
    <n v="0"/>
    <n v="0"/>
    <n v="0"/>
    <n v="0"/>
    <n v="0"/>
    <n v="-29.700572021264179"/>
    <n v="0"/>
    <n v="0"/>
    <n v="495.34232058696398"/>
    <n v="0"/>
    <n v="0"/>
    <n v="0"/>
    <n v="41.284320151995644"/>
    <n v="0"/>
    <n v="392.34094862639131"/>
    <m/>
    <n v="0"/>
    <n v="0"/>
    <n v="0"/>
    <n v="0"/>
    <n v="52.91396029248682"/>
    <n v="4.1152311671717285"/>
    <n v="0"/>
    <n v="0"/>
    <m/>
    <m/>
    <m/>
    <n v="7760.21460191596"/>
    <n v="0"/>
    <n v="0"/>
    <n v="-3550.8313400000025"/>
    <n v="495.51893999999993"/>
    <n v="0"/>
    <n v="0"/>
    <n v="-4011.9225602737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06"/>
    <n v="0.06"/>
    <n v="0.06"/>
    <n v="0.06"/>
    <m/>
    <n v="325.25"/>
    <n v="297.72000000000003"/>
    <m/>
    <n v="37.378200000000007"/>
    <n v="37.378200000000007"/>
    <n v="31.960799999999999"/>
    <n v="0"/>
    <n v="0"/>
    <n v="0"/>
    <n v="0"/>
    <n v="0"/>
    <n v="5.9638501905891719"/>
    <n v="12.00868842016242"/>
    <n v="17.863431418570919"/>
    <n v="0"/>
    <n v="0"/>
    <n v="0"/>
    <n v="0"/>
    <n v="0"/>
    <n v="0"/>
    <m/>
    <n v="5.34232161838769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888282124241741"/>
    <n v="0"/>
    <n v="0"/>
    <n v="0"/>
    <n v="1.32"/>
    <n v="0"/>
    <m/>
    <m/>
    <m/>
    <m/>
    <m/>
    <m/>
    <m/>
    <n v="20.774999999999999"/>
    <m/>
    <n v="19.352259630995093"/>
    <m/>
    <m/>
    <m/>
    <m/>
    <m/>
    <m/>
    <m/>
    <m/>
    <m/>
    <m/>
    <m/>
    <m/>
    <n v="11.1858"/>
    <n v="-1.9265999999999988"/>
    <m/>
    <m/>
    <m/>
    <m/>
    <n v="-6.1841999999999997"/>
    <n v="0.76679999999999837"/>
    <n v="30"/>
    <n v="0.79082036450860116"/>
    <n v="0"/>
    <n v="0"/>
    <n v="0"/>
    <n v="0"/>
    <n v="0"/>
    <n v="0"/>
    <n v="0"/>
    <n v="-4.5960702583649926E-2"/>
    <n v="0"/>
    <n v="0"/>
    <n v="0.76652668700430127"/>
    <n v="0"/>
    <n v="0"/>
    <n v="0"/>
    <n v="6.3886189077959843E-2"/>
    <n v="0"/>
    <n v="0"/>
    <m/>
    <n v="0"/>
    <n v="0"/>
    <n v="0"/>
    <n v="0"/>
    <n v="0"/>
    <n v="6.368191009988998E-3"/>
    <n v="0"/>
    <n v="0"/>
    <m/>
    <m/>
    <m/>
    <n v="12.00868842016242"/>
    <n v="0"/>
    <n v="0"/>
    <n v="-6.1842000000000006"/>
    <n v="0.76679999999999637"/>
    <n v="0"/>
    <n v="0"/>
    <n v="-6.2083241847787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0.13200000000000001"/>
    <n v="0.13200000000000001"/>
    <n v="0.13200000000000001"/>
    <n v="0.13200000000000001"/>
    <m/>
    <n v="325.25"/>
    <n v="297.72000000000003"/>
    <m/>
    <n v="82.232040000000012"/>
    <n v="82.232040000000012"/>
    <n v="70.313760000000002"/>
    <n v="0"/>
    <n v="0"/>
    <n v="0"/>
    <n v="0"/>
    <n v="0"/>
    <n v="13.120470419296179"/>
    <n v="26.419114524357326"/>
    <n v="39.299549120856028"/>
    <n v="0"/>
    <n v="0"/>
    <n v="0"/>
    <n v="0"/>
    <n v="0"/>
    <n v="0"/>
    <m/>
    <n v="0.1175310756045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754220673331833"/>
    <n v="0"/>
    <n v="0"/>
    <n v="0"/>
    <n v="5.63"/>
    <n v="1"/>
    <m/>
    <m/>
    <m/>
    <m/>
    <m/>
    <m/>
    <m/>
    <n v="28.125240000000002"/>
    <m/>
    <n v="42.57497118818921"/>
    <m/>
    <m/>
    <m/>
    <m/>
    <m/>
    <m/>
    <m/>
    <m/>
    <m/>
    <m/>
    <m/>
    <m/>
    <n v="41.549300000000002"/>
    <n v="-7.8196600000000061"/>
    <m/>
    <m/>
    <m/>
    <m/>
    <n v="-13.60524"/>
    <n v="1.6869599999999965"/>
    <n v="30"/>
    <n v="1.7398048019189218"/>
    <n v="0"/>
    <n v="0"/>
    <n v="0"/>
    <n v="0"/>
    <n v="0"/>
    <n v="0"/>
    <n v="0"/>
    <n v="-0.1011135456840293"/>
    <n v="0"/>
    <n v="0"/>
    <n v="1.6863587114094614"/>
    <n v="0"/>
    <n v="0"/>
    <n v="0"/>
    <n v="0.14054961597151161"/>
    <n v="0"/>
    <n v="0"/>
    <m/>
    <n v="0"/>
    <n v="0"/>
    <n v="0"/>
    <n v="0"/>
    <n v="0"/>
    <n v="1.4010020221975825E-2"/>
    <n v="0"/>
    <n v="0"/>
    <m/>
    <m/>
    <m/>
    <n v="26.419114524357326"/>
    <n v="0"/>
    <n v="0"/>
    <n v="-13.605239999999998"/>
    <n v="1.6869599999999991"/>
    <n v="0"/>
    <n v="0"/>
    <n v="-13.658313206513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.12"/>
    <n v="0.12"/>
    <n v="0.12"/>
    <n v="0.12"/>
    <m/>
    <n v="325.25"/>
    <n v="297.72000000000003"/>
    <m/>
    <n v="74.756400000000014"/>
    <n v="74.756400000000014"/>
    <n v="63.921599999999998"/>
    <n v="0"/>
    <n v="0"/>
    <n v="0"/>
    <n v="0"/>
    <n v="0"/>
    <n v="11.927700381178344"/>
    <n v="24.01737684032484"/>
    <n v="35.726862837141837"/>
    <n v="0"/>
    <n v="0"/>
    <n v="0"/>
    <n v="0"/>
    <n v="0"/>
    <n v="0"/>
    <m/>
    <n v="0.106846432367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776564248483481"/>
    <n v="0"/>
    <n v="0"/>
    <n v="0"/>
    <n v="12.58"/>
    <n v="0"/>
    <m/>
    <m/>
    <m/>
    <m/>
    <m/>
    <m/>
    <m/>
    <n v="6.3924000000000012"/>
    <m/>
    <n v="38.704519261990185"/>
    <m/>
    <m/>
    <m/>
    <m/>
    <m/>
    <m/>
    <m/>
    <m/>
    <m/>
    <m/>
    <m/>
    <m/>
    <n v="57.529200000000003"/>
    <n v="-9.7811999999999983"/>
    <m/>
    <m/>
    <m/>
    <m/>
    <n v="-12.368399999999999"/>
    <n v="1.5335999999999967"/>
    <n v="30"/>
    <n v="1.5816407290172023"/>
    <n v="0"/>
    <n v="0"/>
    <n v="0"/>
    <n v="0"/>
    <n v="0"/>
    <n v="0"/>
    <n v="0"/>
    <n v="-9.1921405167299852E-2"/>
    <n v="0"/>
    <n v="0"/>
    <n v="1.5330533740086025"/>
    <n v="0"/>
    <n v="0"/>
    <n v="0"/>
    <n v="0.12777237815591969"/>
    <n v="0"/>
    <n v="0"/>
    <m/>
    <n v="0"/>
    <n v="0"/>
    <n v="0"/>
    <n v="0"/>
    <n v="0"/>
    <n v="1.2736382019977996E-2"/>
    <n v="0"/>
    <n v="0"/>
    <m/>
    <m/>
    <m/>
    <n v="24.01737684032484"/>
    <n v="0"/>
    <n v="0"/>
    <n v="-12.368400000000001"/>
    <n v="1.5335999999999927"/>
    <n v="0"/>
    <n v="0"/>
    <n v="-12.416648369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6.0000000000000001E-3"/>
    <n v="6.0000000000000001E-3"/>
    <n v="6.0000000000000001E-3"/>
    <n v="6.0000000000000001E-3"/>
    <m/>
    <n v="325.25"/>
    <n v="297.72000000000003"/>
    <m/>
    <n v="3.7378200000000001"/>
    <n v="3.7378200000000001"/>
    <n v="3.1960800000000003"/>
    <n v="0"/>
    <n v="0"/>
    <n v="0"/>
    <n v="0"/>
    <n v="0"/>
    <n v="0.59638501905891717"/>
    <n v="1.2008688420162421"/>
    <n v="1.7863431418570921"/>
    <n v="0"/>
    <n v="0"/>
    <n v="0"/>
    <n v="0"/>
    <n v="0"/>
    <n v="0"/>
    <m/>
    <n v="5.3423216183877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4888282124241742"/>
    <n v="0"/>
    <n v="0"/>
    <n v="0"/>
    <n v="4.12"/>
    <n v="1"/>
    <m/>
    <m/>
    <m/>
    <m/>
    <m/>
    <m/>
    <m/>
    <m/>
    <m/>
    <n v="1.9352259630995094"/>
    <m/>
    <m/>
    <m/>
    <m/>
    <m/>
    <m/>
    <m/>
    <m/>
    <m/>
    <m/>
    <m/>
    <m/>
    <n v="5.3268000000000004"/>
    <n v="1.5589800000000005"/>
    <m/>
    <m/>
    <m/>
    <m/>
    <n v="-0.61841999999999997"/>
    <n v="7.6679999999999832E-2"/>
    <n v="30"/>
    <n v="7.9082036450860205E-2"/>
    <n v="0"/>
    <n v="0"/>
    <n v="0"/>
    <n v="0"/>
    <n v="0"/>
    <n v="0"/>
    <n v="0"/>
    <n v="-4.5960702583649482E-3"/>
    <n v="0"/>
    <n v="0"/>
    <n v="7.6652668700430082E-2"/>
    <n v="0"/>
    <n v="0"/>
    <n v="0"/>
    <n v="6.3886189077959898E-3"/>
    <n v="0"/>
    <n v="0"/>
    <m/>
    <n v="0"/>
    <n v="0"/>
    <n v="0"/>
    <n v="0"/>
    <n v="0"/>
    <n v="6.3681910099890049E-4"/>
    <n v="0"/>
    <n v="0"/>
    <m/>
    <m/>
    <m/>
    <n v="1.2008688420162421"/>
    <n v="0"/>
    <n v="0"/>
    <n v="-0.61841999999999997"/>
    <n v="7.6679999999999859E-2"/>
    <n v="0"/>
    <n v="0"/>
    <n v="-0.62083241847787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"/>
    <s v="Regular"/>
    <s v="Convencional"/>
    <s v="B3"/>
    <s v="Industrial"/>
    <s v="Não se aplica"/>
    <s v="Não se aplica"/>
    <s v="Não se aplica"/>
    <s v="Não se aplica"/>
    <s v="CATIVO"/>
    <x v="0"/>
    <n v="0"/>
    <n v="0"/>
    <n v="0.33600000000000002"/>
    <n v="0.33600000000000002"/>
    <n v="0.33600000000000002"/>
    <n v="0.33600000000000002"/>
    <m/>
    <n v="395.23"/>
    <n v="297.72000000000003"/>
    <m/>
    <n v="232.83120000000002"/>
    <n v="232.83120000000002"/>
    <n v="206.3544"/>
    <n v="0"/>
    <n v="20.36550375570339"/>
    <n v="0"/>
    <n v="0"/>
    <n v="0"/>
    <n v="33.397561067299364"/>
    <n v="67.248655152909564"/>
    <n v="100.03521594399716"/>
    <n v="0"/>
    <n v="0"/>
    <n v="0"/>
    <n v="0"/>
    <n v="0"/>
    <n v="3.1486181681538126"/>
    <m/>
    <n v="0.29917001062971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3374379895753759"/>
    <n v="0"/>
    <n v="0"/>
    <n v="0"/>
    <n v="74.45"/>
    <n v="2"/>
    <m/>
    <m/>
    <m/>
    <m/>
    <m/>
    <m/>
    <m/>
    <m/>
    <m/>
    <n v="108.37265393357254"/>
    <m/>
    <m/>
    <m/>
    <m/>
    <m/>
    <m/>
    <m/>
    <m/>
    <m/>
    <m/>
    <m/>
    <m/>
    <n v="208.81100000000001"/>
    <n v="-24.05019999999999"/>
    <m/>
    <m/>
    <m/>
    <m/>
    <n v="-30.770880000000016"/>
    <n v="4.2940799999999912"/>
    <n v="30"/>
    <n v="8.2870947865282005"/>
    <n v="0"/>
    <n v="0"/>
    <n v="0"/>
    <n v="0"/>
    <n v="0"/>
    <n v="0"/>
    <n v="0"/>
    <n v="-0.25737993446843888"/>
    <n v="0"/>
    <n v="0"/>
    <n v="4.2925494472240899"/>
    <n v="0"/>
    <n v="0"/>
    <n v="0"/>
    <n v="0.35776265883657565"/>
    <n v="0"/>
    <n v="3.3999576699885878"/>
    <m/>
    <n v="0"/>
    <n v="0"/>
    <n v="0"/>
    <n v="0"/>
    <n v="0.45854307529145499"/>
    <n v="3.5661869655938427E-2"/>
    <n v="0"/>
    <n v="0"/>
    <m/>
    <m/>
    <m/>
    <n v="67.248655152909564"/>
    <n v="0"/>
    <n v="0"/>
    <n v="-30.770880000000005"/>
    <n v="4.2940799999999939"/>
    <n v="0"/>
    <n v="0"/>
    <n v="-34.76661543476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"/>
    <s v="Regular"/>
    <s v="Azul"/>
    <s v="A4"/>
    <s v="Industrial"/>
    <s v="Não se aplica"/>
    <s v="Não se aplica"/>
    <s v="Não se aplica"/>
    <s v="Ponta"/>
    <s v="CATIVO"/>
    <x v="0"/>
    <n v="580"/>
    <n v="580"/>
    <n v="23.847000000000001"/>
    <n v="23.847000000000001"/>
    <n v="23.847000000000001"/>
    <n v="23.847000000000001"/>
    <n v="78.569999999999993"/>
    <n v="72.290000000000006"/>
    <n v="297.72000000000003"/>
    <n v="45570.6"/>
    <n v="8823.6284700000015"/>
    <n v="54394.228470000002"/>
    <n v="40400.763680000004"/>
    <n v="0"/>
    <n v="1257.5025780183498"/>
    <n v="0"/>
    <n v="0"/>
    <n v="0"/>
    <n v="17679.468868093922"/>
    <n v="27892.700319820804"/>
    <n v="7099.8208173110124"/>
    <n v="0"/>
    <n v="0"/>
    <n v="0"/>
    <n v="0"/>
    <n v="0"/>
    <n v="223.46755195227371"/>
    <m/>
    <n v="14.3786393575424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46505463008657"/>
    <n v="0"/>
    <n v="0"/>
    <n v="0"/>
    <n v="0"/>
    <n v="0"/>
    <m/>
    <m/>
    <m/>
    <m/>
    <m/>
    <m/>
    <m/>
    <m/>
    <m/>
    <n v="7328.2858719410988"/>
    <m/>
    <m/>
    <m/>
    <m/>
    <m/>
    <m/>
    <m/>
    <m/>
    <m/>
    <m/>
    <m/>
    <m/>
    <n v="40401.944000000003"/>
    <n v="-13992.314470000005"/>
    <m/>
    <m/>
    <m/>
    <m/>
    <n v="-14298.229449999997"/>
    <n v="304.76465999999937"/>
    <n v="30"/>
    <n v="422.40626756867277"/>
    <n v="0"/>
    <n v="0"/>
    <n v="0"/>
    <n v="0"/>
    <n v="0"/>
    <n v="0"/>
    <n v="0"/>
    <n v="-136.24768975006373"/>
    <n v="0"/>
    <n v="0"/>
    <n v="304.65603174985972"/>
    <n v="0"/>
    <n v="0"/>
    <n v="0"/>
    <n v="9.8035230364412769"/>
    <n v="0"/>
    <n v="209.93615411877613"/>
    <m/>
    <n v="0"/>
    <n v="0"/>
    <n v="0"/>
    <n v="0"/>
    <n v="32.544275941890874"/>
    <n v="1.7139724717698552"/>
    <n v="0"/>
    <n v="0"/>
    <m/>
    <m/>
    <n v="27892.700319820804"/>
    <n v="0"/>
    <n v="0"/>
    <n v="0"/>
    <n v="-14298.229449999999"/>
    <n v="304.76465999999982"/>
    <n v="0"/>
    <n v="0"/>
    <n v="-14420.136480815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"/>
    <s v="Regular"/>
    <s v="Azul"/>
    <s v="A4"/>
    <s v="Industrial"/>
    <s v="Não se aplica"/>
    <s v="Não se aplica"/>
    <s v="Não se aplica"/>
    <s v="Fora ponta"/>
    <s v="CATIVO"/>
    <x v="0"/>
    <n v="609"/>
    <n v="609"/>
    <n v="206.20699999999999"/>
    <n v="206.20699999999999"/>
    <n v="206.20699999999999"/>
    <n v="206.20699999999999"/>
    <n v="25.76"/>
    <n v="72.290000000000006"/>
    <n v="297.72000000000003"/>
    <n v="15687.84"/>
    <n v="76298.652070000011"/>
    <n v="91986.492070000008"/>
    <n v="92530.562080000003"/>
    <n v="0"/>
    <n v="10873.729781751576"/>
    <n v="0"/>
    <n v="0"/>
    <n v="0"/>
    <n v="7503.1097887562892"/>
    <n v="8183.9015808061977"/>
    <n v="61392.74337548756"/>
    <n v="0"/>
    <n v="0"/>
    <n v="0"/>
    <n v="0"/>
    <n v="0"/>
    <n v="1932.3425791681345"/>
    <m/>
    <n v="124.33329500569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5.5564020676086"/>
    <n v="0"/>
    <n v="0"/>
    <n v="0"/>
    <n v="0"/>
    <n v="0"/>
    <m/>
    <m/>
    <m/>
    <m/>
    <m/>
    <m/>
    <m/>
    <m/>
    <m/>
    <n v="63368.29977755517"/>
    <m/>
    <m/>
    <m/>
    <m/>
    <m/>
    <m/>
    <m/>
    <m/>
    <m/>
    <m/>
    <m/>
    <m/>
    <n v="92531.742400000003"/>
    <n v="545.22033000001102"/>
    <m/>
    <m/>
    <m/>
    <m/>
    <n v="-2091.2554500000033"/>
    <n v="2635.3254599999941"/>
    <n v="30"/>
    <n v="4772.9043294745643"/>
    <n v="0"/>
    <n v="0"/>
    <n v="0"/>
    <n v="0"/>
    <n v="0"/>
    <n v="0"/>
    <n v="0"/>
    <n v="-57.823081806722257"/>
    <n v="0"/>
    <n v="0"/>
    <n v="2634.3861424515999"/>
    <n v="0"/>
    <n v="0"/>
    <n v="0"/>
    <n v="84.771882197989044"/>
    <n v="0"/>
    <n v="1815.335452357549"/>
    <m/>
    <n v="0"/>
    <n v="0"/>
    <n v="0"/>
    <n v="0"/>
    <n v="281.41307121019349"/>
    <n v="14.820863063959678"/>
    <n v="0"/>
    <n v="0"/>
    <m/>
    <m/>
    <n v="8183.9015808061977"/>
    <n v="0"/>
    <n v="0"/>
    <n v="0"/>
    <n v="-2091.2554500000006"/>
    <n v="2635.3254599999927"/>
    <n v="0"/>
    <n v="0"/>
    <n v="-4230.9628106148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9959.5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Ponta"/>
    <s v="CATIVO"/>
    <x v="0"/>
    <n v="0"/>
    <n v="0"/>
    <n v="43.52"/>
    <n v="43.52"/>
    <n v="43.52"/>
    <n v="43.52"/>
    <m/>
    <n v="1962.25"/>
    <n v="297.72000000000003"/>
    <m/>
    <n v="98353.894400000019"/>
    <n v="98353.894400000019"/>
    <n v="73105.331200000001"/>
    <n v="0"/>
    <n v="2294.9013374998358"/>
    <n v="0"/>
    <n v="0"/>
    <n v="0"/>
    <n v="31916.760691783766"/>
    <n v="50334.644617790414"/>
    <n v="12956.942255603441"/>
    <n v="0"/>
    <n v="0"/>
    <n v="0"/>
    <n v="0"/>
    <n v="0"/>
    <n v="407.82101987516052"/>
    <m/>
    <n v="26.240549538317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941299849095"/>
    <n v="0"/>
    <n v="0"/>
    <n v="0"/>
    <n v="0"/>
    <n v="0"/>
    <m/>
    <m/>
    <m/>
    <m/>
    <m/>
    <m/>
    <m/>
    <m/>
    <m/>
    <n v="13373.883555452536"/>
    <m/>
    <m/>
    <m/>
    <m/>
    <m/>
    <m/>
    <m/>
    <m/>
    <m/>
    <m/>
    <m/>
    <m/>
    <n v="73105.331200000001"/>
    <n v="-25248.593200000003"/>
    <m/>
    <m/>
    <m/>
    <m/>
    <n v="-25804.748800000005"/>
    <n v="556.18559999999889"/>
    <n v="30"/>
    <n v="773.55724239929259"/>
    <n v="0"/>
    <n v="0"/>
    <n v="0"/>
    <n v="0"/>
    <n v="0"/>
    <n v="0"/>
    <n v="0"/>
    <n v="-245.96807409801841"/>
    <n v="0"/>
    <n v="0"/>
    <n v="555.98735697378652"/>
    <n v="0"/>
    <n v="0"/>
    <n v="0"/>
    <n v="17.891110938311897"/>
    <n v="0"/>
    <n v="383.12665858385299"/>
    <m/>
    <n v="0"/>
    <n v="0"/>
    <n v="0"/>
    <n v="0"/>
    <n v="59.392245942512204"/>
    <n v="3.1279440588511811"/>
    <n v="0"/>
    <n v="0"/>
    <m/>
    <m/>
    <m/>
    <n v="50334.644617790414"/>
    <n v="0"/>
    <n v="0"/>
    <n v="-25804.748800000008"/>
    <n v="556.18559999999889"/>
    <n v="0"/>
    <n v="0"/>
    <n v="-26022.308230447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Fora ponta"/>
    <s v="CATIVO"/>
    <x v="0"/>
    <n v="0"/>
    <n v="0"/>
    <n v="609.14499999999998"/>
    <n v="609.14499999999998"/>
    <n v="609.14499999999998"/>
    <n v="609.14499999999998"/>
    <m/>
    <n v="72.290000000000006"/>
    <n v="297.72000000000003"/>
    <m/>
    <n v="225389.74145000003"/>
    <n v="225389.74145000003"/>
    <n v="239662.00879999998"/>
    <n v="0"/>
    <n v="32121.499890425948"/>
    <n v="0"/>
    <n v="0"/>
    <n v="0"/>
    <n v="0"/>
    <n v="0"/>
    <n v="181356.99885775638"/>
    <n v="0"/>
    <n v="0"/>
    <n v="0"/>
    <n v="0"/>
    <n v="0"/>
    <n v="5708.2292084525416"/>
    <m/>
    <n v="367.28629477293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35.8848367779628"/>
    <n v="0"/>
    <n v="0"/>
    <n v="0"/>
    <n v="0"/>
    <n v="0"/>
    <m/>
    <m/>
    <m/>
    <m/>
    <m/>
    <m/>
    <m/>
    <m/>
    <m/>
    <n v="187192.88369453434"/>
    <m/>
    <m/>
    <m/>
    <m/>
    <m/>
    <m/>
    <m/>
    <m/>
    <m/>
    <m/>
    <m/>
    <m/>
    <n v="239663.97599999997"/>
    <n v="14274.204549999937"/>
    <m/>
    <m/>
    <m/>
    <m/>
    <n v="6487.3942499999948"/>
    <n v="7784.8730999999834"/>
    <n v="30"/>
    <n v="14270.191840941116"/>
    <n v="0"/>
    <n v="0"/>
    <n v="0"/>
    <n v="0"/>
    <n v="0"/>
    <n v="0"/>
    <n v="0"/>
    <n v="0"/>
    <n v="0"/>
    <n v="0"/>
    <n v="7782.0983125872444"/>
    <n v="0"/>
    <n v="0"/>
    <n v="0"/>
    <n v="250.42005451557907"/>
    <n v="0"/>
    <n v="5362.5847528276863"/>
    <m/>
    <n v="0"/>
    <n v="0"/>
    <n v="0"/>
    <n v="0"/>
    <n v="831.3072071381348"/>
    <n v="43.781513872447192"/>
    <n v="0"/>
    <n v="0"/>
    <m/>
    <m/>
    <m/>
    <n v="0"/>
    <n v="0"/>
    <n v="0"/>
    <n v="6487.3942499999976"/>
    <n v="7784.8730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Não se aplica"/>
    <s v="CATIVO"/>
    <x v="0"/>
    <n v="3060"/>
    <n v="3060"/>
    <n v="0"/>
    <n v="0"/>
    <n v="0"/>
    <n v="0"/>
    <n v="25.76"/>
    <m/>
    <m/>
    <n v="78825.600000000006"/>
    <m/>
    <n v="78825.600000000006"/>
    <n v="57283.199999999997"/>
    <n v="0"/>
    <n v="0"/>
    <n v="0"/>
    <n v="0"/>
    <n v="0"/>
    <n v="37700.354603603031"/>
    <n v="41121.0818345927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1788.78"/>
    <n v="3"/>
    <m/>
    <m/>
    <m/>
    <m/>
    <m/>
    <m/>
    <m/>
    <m/>
    <m/>
    <n v="0"/>
    <m/>
    <m/>
    <m/>
    <m/>
    <m/>
    <m/>
    <m/>
    <m/>
    <m/>
    <m/>
    <m/>
    <m/>
    <n v="57283.199999999997"/>
    <n v="-21542.429999999993"/>
    <m/>
    <m/>
    <m/>
    <m/>
    <n v="-21542.400000000009"/>
    <n v="0"/>
    <n v="30"/>
    <n v="-290.53962287121249"/>
    <n v="0"/>
    <n v="0"/>
    <n v="0"/>
    <n v="0"/>
    <m/>
    <m/>
    <m/>
    <n v="-290.539622871212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121.081834592718"/>
    <m/>
    <n v="0"/>
    <n v="0"/>
    <n v="-21542.400000000009"/>
    <m/>
    <n v="0"/>
    <m/>
    <n v="-21259.024959739483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13"/>
    <s v="Regular"/>
    <s v="Convencional"/>
    <s v="B3"/>
    <s v="Comercial"/>
    <s v="Não se aplica"/>
    <s v="Não se aplica"/>
    <s v="Não se aplica"/>
    <s v="Não se aplica"/>
    <s v="CATIVO"/>
    <x v="0"/>
    <n v="0"/>
    <n v="0"/>
    <n v="18.245999999999999"/>
    <n v="18.245999999999999"/>
    <n v="18.245999999999999"/>
    <n v="18.245999999999999"/>
    <m/>
    <n v="395.23"/>
    <n v="297.72000000000003"/>
    <m/>
    <n v="12643.565699999999"/>
    <n v="12643.565699999999"/>
    <n v="11205.780899999998"/>
    <n v="0"/>
    <n v="1105.9195878766786"/>
    <n v="0"/>
    <n v="0"/>
    <n v="0"/>
    <n v="1813.6068429581669"/>
    <n v="3651.842148571392"/>
    <n v="5432.2694943874167"/>
    <n v="0"/>
    <n v="0"/>
    <n v="0"/>
    <n v="0"/>
    <n v="0"/>
    <n v="170.98121159563826"/>
    <m/>
    <n v="16.246000041516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.75265939819133"/>
    <n v="0"/>
    <n v="0"/>
    <n v="0"/>
    <n v="3806.98"/>
    <n v="45"/>
    <m/>
    <m/>
    <m/>
    <m/>
    <m/>
    <m/>
    <m/>
    <m/>
    <m/>
    <n v="5885.0221537856078"/>
    <m/>
    <m/>
    <m/>
    <m/>
    <m/>
    <m/>
    <m/>
    <m/>
    <m/>
    <m/>
    <m/>
    <m/>
    <n v="11208.237499999999"/>
    <n v="-1435.3582000000006"/>
    <m/>
    <m/>
    <m/>
    <m/>
    <n v="-1670.9686800000006"/>
    <n v="233.18387999999948"/>
    <n v="30"/>
    <n v="450.01884367557614"/>
    <n v="0"/>
    <n v="0"/>
    <n v="0"/>
    <n v="0"/>
    <n v="0"/>
    <n v="0"/>
    <n v="0"/>
    <n v="-13.976649655687652"/>
    <n v="0"/>
    <n v="0"/>
    <n v="233.10076551800739"/>
    <n v="0"/>
    <n v="0"/>
    <n v="0"/>
    <n v="19.427790098607602"/>
    <n v="0"/>
    <n v="184.62984418634437"/>
    <m/>
    <n v="0"/>
    <n v="0"/>
    <n v="0"/>
    <n v="0"/>
    <n v="24.900526642166341"/>
    <n v="1.9365668861376584"/>
    <n v="0"/>
    <n v="0"/>
    <m/>
    <m/>
    <m/>
    <n v="3651.842148571392"/>
    <n v="0"/>
    <n v="0"/>
    <n v="-1670.9686800000009"/>
    <n v="233.18387999999959"/>
    <n v="0"/>
    <n v="0"/>
    <n v="-1887.951384591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"/>
    <s v="Regular"/>
    <s v="Convencional"/>
    <s v="B2"/>
    <s v="Rural"/>
    <s v="Não se aplica"/>
    <s v="Não se aplica"/>
    <s v="Não se aplica"/>
    <s v="Não se aplica"/>
    <s v="CATIVO"/>
    <x v="0"/>
    <n v="0"/>
    <n v="0"/>
    <n v="428.94200000000001"/>
    <n v="428.94200000000001"/>
    <n v="428.94200000000001"/>
    <n v="428.94200000000001"/>
    <m/>
    <n v="395.23"/>
    <n v="297.72000000000003"/>
    <m/>
    <n v="297235.35889999999"/>
    <n v="297235.35889999999"/>
    <n v="263434.72930000001"/>
    <n v="0"/>
    <n v="25998.868785651557"/>
    <n v="0"/>
    <n v="0"/>
    <n v="0"/>
    <n v="42635.763807528339"/>
    <n v="85850.513805355149"/>
    <n v="127706.26665907746"/>
    <n v="0"/>
    <n v="0"/>
    <n v="0"/>
    <n v="0"/>
    <n v="0"/>
    <n v="4019.5671853697399"/>
    <m/>
    <n v="381.92435327240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43.682518227501"/>
    <n v="0"/>
    <n v="0.53"/>
    <n v="2.5299999999999998"/>
    <n v="67409.350000000006"/>
    <n v="945"/>
    <m/>
    <m/>
    <m/>
    <m/>
    <m/>
    <n v="31613.025399999995"/>
    <m/>
    <m/>
    <m/>
    <n v="138349.94917730495"/>
    <m/>
    <m/>
    <m/>
    <m/>
    <m/>
    <m/>
    <m/>
    <m/>
    <m/>
    <m/>
    <m/>
    <m/>
    <n v="231820.62299999999"/>
    <n v="-29748.238600000041"/>
    <m/>
    <m/>
    <m/>
    <m/>
    <n v="-39282.508360000022"/>
    <n v="5481.8787599999887"/>
    <n v="30"/>
    <n v="10579.413725961262"/>
    <n v="0"/>
    <n v="0"/>
    <n v="0"/>
    <n v="0"/>
    <n v="0"/>
    <n v="0"/>
    <n v="0"/>
    <n v="-328.57459479392855"/>
    <n v="0"/>
    <n v="0"/>
    <n v="5479.9248362833168"/>
    <n v="0"/>
    <n v="0"/>
    <n v="0"/>
    <n v="456.7244952579731"/>
    <n v="0"/>
    <n v="4340.4304847626336"/>
    <m/>
    <n v="0"/>
    <n v="0"/>
    <n v="0"/>
    <n v="0"/>
    <n v="585.38209464781949"/>
    <n v="45.526409803445063"/>
    <n v="0"/>
    <n v="0"/>
    <m/>
    <m/>
    <m/>
    <n v="85850.513805355149"/>
    <n v="0"/>
    <n v="0"/>
    <n v="-39282.508360000007"/>
    <n v="5481.8787599999923"/>
    <n v="0"/>
    <n v="0"/>
    <n v="-44383.516541122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23.366"/>
    <n v="23.366"/>
    <n v="23.366"/>
    <n v="23.366"/>
    <m/>
    <n v="395.23"/>
    <n v="297.72000000000003"/>
    <m/>
    <n v="16191.469700000001"/>
    <n v="16191.469700000001"/>
    <n v="14350.228899999998"/>
    <n v="0"/>
    <n v="1416.2510736778731"/>
    <n v="0"/>
    <n v="0"/>
    <n v="0"/>
    <n v="2322.5220592217765"/>
    <n v="4676.5835604252516"/>
    <n v="6956.6156421054684"/>
    <n v="0"/>
    <n v="0"/>
    <n v="0"/>
    <n v="0"/>
    <n v="0"/>
    <n v="218.96015511036305"/>
    <m/>
    <n v="20.804781155874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9.79933352505418"/>
    <n v="0"/>
    <n v="0"/>
    <n v="0"/>
    <n v="10024.83"/>
    <n v="15"/>
    <m/>
    <m/>
    <m/>
    <m/>
    <m/>
    <n v="1722.0741999999996"/>
    <m/>
    <m/>
    <m/>
    <n v="7536.4149756305223"/>
    <m/>
    <m/>
    <m/>
    <m/>
    <m/>
    <m/>
    <m/>
    <m/>
    <m/>
    <m/>
    <m/>
    <m/>
    <n v="12630.316500000001"/>
    <n v="-1618.3003000000008"/>
    <m/>
    <m/>
    <m/>
    <m/>
    <n v="-2139.8582800000008"/>
    <n v="298.61747999999938"/>
    <n v="30"/>
    <n v="576.29838327981452"/>
    <n v="0"/>
    <n v="0"/>
    <n v="0"/>
    <n v="0"/>
    <n v="0"/>
    <n v="0"/>
    <n v="0"/>
    <n v="-17.898629609492673"/>
    <n v="0"/>
    <n v="0"/>
    <n v="298.51104280904201"/>
    <n v="0"/>
    <n v="0"/>
    <n v="0"/>
    <n v="24.87941156659349"/>
    <n v="0"/>
    <n v="236.43872296712311"/>
    <m/>
    <n v="0"/>
    <n v="0"/>
    <n v="0"/>
    <n v="0"/>
    <n v="31.887849694226588"/>
    <n v="2.4799858523233844"/>
    <n v="0"/>
    <n v="0"/>
    <m/>
    <m/>
    <m/>
    <n v="4676.5835604252516"/>
    <n v="0"/>
    <n v="0"/>
    <n v="-2139.8582800000013"/>
    <n v="298.61747999999989"/>
    <n v="0"/>
    <n v="0"/>
    <n v="-2417.7283816923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0.82399999999999995"/>
    <n v="0.82399999999999995"/>
    <n v="0.82399999999999995"/>
    <n v="0.82399999999999995"/>
    <m/>
    <n v="395.23"/>
    <n v="297.72000000000003"/>
    <m/>
    <n v="570.99080000000004"/>
    <n v="570.99080000000004"/>
    <n v="506.05959999999993"/>
    <n v="0"/>
    <n v="49.943973496129736"/>
    <n v="0"/>
    <n v="0"/>
    <n v="0"/>
    <n v="81.90354261742462"/>
    <n v="164.91932097023056"/>
    <n v="245.32445814837394"/>
    <n v="0"/>
    <n v="0"/>
    <n v="0"/>
    <n v="0"/>
    <n v="0"/>
    <n v="7.721611221901016"/>
    <m/>
    <n v="0.73367883559191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446574117291988"/>
    <n v="0"/>
    <n v="0"/>
    <n v="0"/>
    <n v="182.32"/>
    <n v="17"/>
    <m/>
    <m/>
    <m/>
    <m/>
    <m/>
    <m/>
    <m/>
    <m/>
    <m/>
    <n v="265.77103226566589"/>
    <m/>
    <m/>
    <m/>
    <m/>
    <m/>
    <m/>
    <m/>
    <m/>
    <m/>
    <m/>
    <m/>
    <m/>
    <n v="503.60299999999995"/>
    <n v="-67.417800000000057"/>
    <m/>
    <m/>
    <m/>
    <m/>
    <n v="-75.461920000000035"/>
    <n v="10.530719999999977"/>
    <n v="30"/>
    <n v="20.323113405057313"/>
    <n v="0"/>
    <n v="0"/>
    <n v="0"/>
    <n v="0"/>
    <n v="0"/>
    <n v="0"/>
    <n v="0"/>
    <n v="-0.63119364881545437"/>
    <n v="0"/>
    <n v="0"/>
    <n v="10.526966501525749"/>
    <n v="0"/>
    <n v="0"/>
    <n v="0"/>
    <n v="0.87737033000398412"/>
    <n v="0"/>
    <n v="8.3379914287815353"/>
    <m/>
    <n v="0"/>
    <n v="0"/>
    <n v="0"/>
    <n v="0"/>
    <n v="1.1245223036909486"/>
    <n v="8.7456489870515686E-2"/>
    <n v="0"/>
    <n v="0"/>
    <m/>
    <m/>
    <m/>
    <n v="164.91932097023056"/>
    <n v="0"/>
    <n v="0"/>
    <n v="-75.461920000000021"/>
    <n v="10.530719999999974"/>
    <n v="0"/>
    <n v="0"/>
    <n v="-85.260985470961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0.414000000000001"/>
    <n v="20.414000000000001"/>
    <n v="20.414000000000001"/>
    <n v="20.414000000000001"/>
    <m/>
    <n v="217.38"/>
    <n v="163.75"/>
    <m/>
    <n v="7780.3878199999999"/>
    <n v="7780.3878199999999"/>
    <n v="6895.4409200000009"/>
    <n v="0"/>
    <n v="680.5290670175923"/>
    <n v="0"/>
    <n v="0"/>
    <n v="0"/>
    <n v="1116.005346414634"/>
    <n v="2247.1658495842967"/>
    <n v="3342.7541489714768"/>
    <n v="0"/>
    <n v="0"/>
    <n v="0"/>
    <n v="0"/>
    <n v="0"/>
    <n v="105.21351251958492"/>
    <m/>
    <n v="9.9969974057952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.60194201058175"/>
    <n v="0"/>
    <n v="0"/>
    <n v="0"/>
    <n v="2989.55"/>
    <n v="1"/>
    <m/>
    <m/>
    <m/>
    <m/>
    <m/>
    <m/>
    <m/>
    <m/>
    <m/>
    <n v="3621.3560909820585"/>
    <m/>
    <m/>
    <m/>
    <m/>
    <m/>
    <m/>
    <m/>
    <m/>
    <m/>
    <m/>
    <m/>
    <m/>
    <n v="6894.0897999999997"/>
    <n v="-886.32802000000083"/>
    <m/>
    <m/>
    <m/>
    <m/>
    <n v="-1028.2531800000002"/>
    <n v="143.30628000000021"/>
    <n v="30"/>
    <n v="276.91968492471733"/>
    <n v="0"/>
    <n v="0"/>
    <n v="0"/>
    <n v="0"/>
    <n v="0"/>
    <n v="0"/>
    <n v="0"/>
    <n v="-8.6005496733068867"/>
    <n v="0"/>
    <n v="0"/>
    <n v="143.43886139464166"/>
    <n v="0"/>
    <n v="0"/>
    <n v="0"/>
    <n v="11.954916085176876"/>
    <n v="0"/>
    <n v="113.61221646229353"/>
    <m/>
    <n v="0"/>
    <n v="0"/>
    <n v="0"/>
    <n v="0"/>
    <n v="15.322571685863196"/>
    <n v="1.1916689700475676"/>
    <n v="0"/>
    <n v="0"/>
    <m/>
    <m/>
    <m/>
    <n v="2247.1658495842967"/>
    <n v="0"/>
    <n v="0"/>
    <n v="-1028.2531800000002"/>
    <n v="143.30628000000024"/>
    <n v="0"/>
    <n v="0"/>
    <n v="-1161.7533574906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0.79900000000000004"/>
    <n v="0.75105999999999995"/>
    <n v="0.79900000000000004"/>
    <n v="0.75105999999999995"/>
    <m/>
    <n v="395.23"/>
    <n v="297.72000000000003"/>
    <m/>
    <n v="553.66705000000013"/>
    <n v="553.66705000000013"/>
    <n v="490.70585"/>
    <n v="0"/>
    <n v="48.428683038116098"/>
    <n v="0"/>
    <n v="0"/>
    <n v="0"/>
    <n v="79.418605038012473"/>
    <n v="159.91570079516291"/>
    <n v="237.88136172396943"/>
    <n v="0"/>
    <n v="0"/>
    <n v="0"/>
    <n v="0"/>
    <n v="0"/>
    <n v="7.4873390367705248"/>
    <m/>
    <n v="0.71141916218196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26229028781921"/>
    <n v="0"/>
    <n v="0"/>
    <n v="0"/>
    <n v="177.17"/>
    <n v="2"/>
    <m/>
    <m/>
    <m/>
    <m/>
    <n v="29.442351000000055"/>
    <m/>
    <m/>
    <m/>
    <m/>
    <n v="257.70759075275134"/>
    <m/>
    <m/>
    <m/>
    <m/>
    <m/>
    <m/>
    <m/>
    <m/>
    <m/>
    <m/>
    <m/>
    <m/>
    <n v="460.61249999999995"/>
    <n v="-59.864526999999953"/>
    <m/>
    <m/>
    <m/>
    <m/>
    <n v="-73.172420000000031"/>
    <n v="10.21121999999998"/>
    <n v="30"/>
    <n v="19.706514090583369"/>
    <n v="0"/>
    <n v="0"/>
    <n v="0"/>
    <n v="0"/>
    <n v="0"/>
    <n v="0"/>
    <n v="0"/>
    <n v="-0.61204335607226312"/>
    <n v="0"/>
    <n v="0"/>
    <n v="10.207580381940602"/>
    <n v="0"/>
    <n v="0"/>
    <n v="0"/>
    <n v="0.85075108455483317"/>
    <n v="0"/>
    <n v="8.0850183878597619"/>
    <m/>
    <n v="0"/>
    <n v="0"/>
    <n v="0"/>
    <n v="0"/>
    <n v="1.0904045153508104"/>
    <n v="8.4803076949686917E-2"/>
    <n v="0"/>
    <n v="0"/>
    <m/>
    <m/>
    <m/>
    <n v="159.91570079516291"/>
    <n v="0"/>
    <n v="0"/>
    <n v="-73.172420000000074"/>
    <n v="10.211219999999969"/>
    <n v="0"/>
    <n v="0"/>
    <n v="-82.67418372730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20"/>
    <s v="Regular"/>
    <s v="Convencional"/>
    <s v="B2"/>
    <s v="Rural"/>
    <s v="Agropecuária rural"/>
    <s v="IRRIG./AQUIC."/>
    <s v="Não se aplica"/>
    <s v="Não se aplica"/>
    <s v="CATIVO"/>
    <x v="0"/>
    <n v="0"/>
    <n v="0"/>
    <n v="9.4E-2"/>
    <n v="9.4E-2"/>
    <n v="9.4E-2"/>
    <n v="9.4E-2"/>
    <m/>
    <n v="395.23"/>
    <n v="297.72000000000003"/>
    <m/>
    <n v="65.13730000000001"/>
    <n v="65.13730000000001"/>
    <n v="57.7301"/>
    <n v="0"/>
    <n v="5.6974921221313055"/>
    <n v="0"/>
    <n v="0"/>
    <n v="0"/>
    <n v="9.3433652985897027"/>
    <n v="18.813611858254458"/>
    <n v="27.986042555761106"/>
    <n v="0"/>
    <n v="0"/>
    <n v="0"/>
    <n v="0"/>
    <n v="0"/>
    <n v="0.88086341609064989"/>
    <m/>
    <n v="8.36963720214072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24975327978725"/>
    <n v="0"/>
    <n v="0"/>
    <n v="0"/>
    <n v="0"/>
    <n v="0"/>
    <m/>
    <m/>
    <m/>
    <m/>
    <m/>
    <n v="8.069899999999997"/>
    <m/>
    <m/>
    <m/>
    <n v="30.318540088558979"/>
    <m/>
    <m/>
    <m/>
    <m/>
    <m/>
    <m/>
    <m/>
    <m/>
    <m/>
    <m/>
    <m/>
    <m/>
    <n v="47.546999999999997"/>
    <n v="-8.3180600000000098"/>
    <m/>
    <m/>
    <m/>
    <m/>
    <n v="-8.6085200000000039"/>
    <n v="1.2013199999999975"/>
    <n v="30"/>
    <n v="2.3184134224215853"/>
    <n v="0"/>
    <n v="0"/>
    <n v="0"/>
    <n v="0"/>
    <n v="0"/>
    <n v="0"/>
    <n v="0"/>
    <n v="-7.2005100714385151E-2"/>
    <n v="0"/>
    <n v="0"/>
    <n v="1.2008918096400727"/>
    <n v="0"/>
    <n v="0"/>
    <n v="0"/>
    <n v="0.10008836288880429"/>
    <n v="0"/>
    <n v="0.95117863386585455"/>
    <m/>
    <n v="0"/>
    <n v="0"/>
    <n v="0"/>
    <n v="0"/>
    <n v="0.12828288415891898"/>
    <n v="9.976832582316103E-3"/>
    <n v="0"/>
    <n v="0"/>
    <m/>
    <m/>
    <m/>
    <n v="18.813611858254458"/>
    <n v="0"/>
    <n v="0"/>
    <n v="-8.6085200000000022"/>
    <n v="1.2013199999999991"/>
    <n v="0"/>
    <n v="0"/>
    <n v="-9.726374556153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6.0000000000000001E-3"/>
    <n v="2.3999999999999998E-3"/>
    <n v="6.0000000000000001E-3"/>
    <n v="2.3999999999999998E-3"/>
    <m/>
    <n v="395.23"/>
    <n v="297.72000000000003"/>
    <m/>
    <n v="4.1577000000000002"/>
    <n v="4.1577000000000002"/>
    <n v="3.6848999999999998"/>
    <n v="0"/>
    <n v="0.3636697099232748"/>
    <n v="0"/>
    <n v="0"/>
    <n v="0"/>
    <n v="0.59638501905891717"/>
    <n v="1.2008688420162421"/>
    <n v="1.7863431418570921"/>
    <n v="0"/>
    <n v="0"/>
    <n v="0"/>
    <n v="0"/>
    <n v="0"/>
    <n v="5.6225324431318079E-2"/>
    <m/>
    <n v="5.3423216183877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4888282124241742"/>
    <n v="0"/>
    <n v="0"/>
    <n v="0"/>
    <n v="0"/>
    <n v="0"/>
    <m/>
    <m/>
    <m/>
    <m/>
    <m/>
    <m/>
    <n v="2.4169800000000001"/>
    <m/>
    <m/>
    <n v="1.9352259630995094"/>
    <m/>
    <m/>
    <m/>
    <m/>
    <m/>
    <m/>
    <m/>
    <m/>
    <m/>
    <m/>
    <m/>
    <m/>
    <n v="0"/>
    <n v="-1.455576"/>
    <m/>
    <m/>
    <m/>
    <m/>
    <n v="-0.5494800000000003"/>
    <n v="7.6679999999999832E-2"/>
    <n v="30"/>
    <n v="0.14798383547371774"/>
    <n v="0"/>
    <n v="0"/>
    <n v="0"/>
    <n v="0"/>
    <n v="0"/>
    <n v="0"/>
    <n v="0"/>
    <n v="-4.5960702583649482E-3"/>
    <n v="0"/>
    <n v="0"/>
    <n v="7.6652668700430082E-2"/>
    <n v="0"/>
    <n v="0"/>
    <n v="0"/>
    <n v="6.3886189077959898E-3"/>
    <n v="0"/>
    <n v="6.0713529821224799E-2"/>
    <m/>
    <n v="0"/>
    <n v="0"/>
    <n v="0"/>
    <n v="0"/>
    <n v="8.1882692016331179E-3"/>
    <n v="6.3681910099890049E-4"/>
    <n v="0"/>
    <n v="0"/>
    <m/>
    <m/>
    <m/>
    <n v="1.2008688420162421"/>
    <n v="0"/>
    <n v="0"/>
    <n v="-0.54948000000000041"/>
    <n v="7.6679999999999859E-2"/>
    <n v="0"/>
    <n v="0"/>
    <n v="-0.62083241847787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"/>
    <s v="Regular"/>
    <s v="Convencional"/>
    <s v="B1"/>
    <s v="Residencial"/>
    <s v="Residencial"/>
    <s v="Não se aplica"/>
    <s v="Não se aplica"/>
    <s v="Não se aplica"/>
    <s v="CATIVO"/>
    <x v="1"/>
    <n v="0"/>
    <n v="0"/>
    <n v="37.901000000000003"/>
    <n v="37.901000000000003"/>
    <n v="37.901000000000003"/>
    <n v="37.901000000000003"/>
    <m/>
    <n v="395.23"/>
    <n v="297.72000000000003"/>
    <m/>
    <n v="26263.497950000004"/>
    <n v="26263.497950000004"/>
    <n v="23276.899150000001"/>
    <n v="0"/>
    <n v="2297.2409459670066"/>
    <n v="0"/>
    <n v="0"/>
    <n v="0"/>
    <n v="3767.2647678920039"/>
    <n v="7585.6883302095994"/>
    <n v="11284.031903254274"/>
    <n v="0"/>
    <n v="0"/>
    <n v="0"/>
    <n v="0"/>
    <n v="0"/>
    <n v="355.16600354523109"/>
    <m/>
    <n v="33.746555276418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0.46796798481046"/>
    <n v="0"/>
    <n v="0.28000000000000003"/>
    <n v="1.31"/>
    <n v="5735.38"/>
    <n v="263"/>
    <m/>
    <m/>
    <m/>
    <m/>
    <m/>
    <m/>
    <m/>
    <m/>
    <m/>
    <n v="12224.499871239084"/>
    <m/>
    <m/>
    <m/>
    <m/>
    <m/>
    <m/>
    <m/>
    <m/>
    <m/>
    <m/>
    <m/>
    <m/>
    <n v="23276.284999999996"/>
    <n v="-2987.2429500000071"/>
    <m/>
    <m/>
    <m/>
    <m/>
    <n v="-3470.9735800000017"/>
    <n v="484.37477999999902"/>
    <n v="31"/>
    <n v="934.78922471490296"/>
    <n v="0"/>
    <n v="0"/>
    <n v="0"/>
    <n v="0"/>
    <n v="0"/>
    <n v="0"/>
    <n v="0"/>
    <n v="-29.032609810381928"/>
    <n v="0"/>
    <n v="0"/>
    <n v="484.20213273583431"/>
    <n v="0"/>
    <n v="0"/>
    <n v="0"/>
    <n v="40.355840870729367"/>
    <n v="0"/>
    <n v="383.51724895903999"/>
    <m/>
    <n v="0"/>
    <n v="0"/>
    <n v="0"/>
    <n v="0"/>
    <n v="51.723931835182839"/>
    <n v="4.0226801244932204"/>
    <n v="0"/>
    <n v="0"/>
    <m/>
    <m/>
    <m/>
    <n v="7585.6883302095994"/>
    <n v="0"/>
    <n v="0"/>
    <n v="-3470.9735800000017"/>
    <n v="484.37477999999828"/>
    <n v="0"/>
    <n v="0"/>
    <n v="-3921.6949154549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06"/>
    <n v="0.06"/>
    <n v="0.06"/>
    <n v="0.06"/>
    <m/>
    <n v="325.25"/>
    <n v="297.72000000000003"/>
    <m/>
    <n v="37.378200000000007"/>
    <n v="37.378200000000007"/>
    <n v="31.960799999999999"/>
    <n v="0"/>
    <n v="0"/>
    <n v="0"/>
    <n v="0"/>
    <n v="0"/>
    <n v="5.9638501905891719"/>
    <n v="12.00868842016242"/>
    <n v="17.863431418570919"/>
    <n v="0"/>
    <n v="0"/>
    <n v="0"/>
    <n v="0"/>
    <n v="0"/>
    <n v="0"/>
    <m/>
    <n v="5.34232161838769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888282124241741"/>
    <n v="0"/>
    <n v="0"/>
    <n v="0"/>
    <n v="1.46"/>
    <n v="0"/>
    <m/>
    <m/>
    <m/>
    <m/>
    <m/>
    <m/>
    <m/>
    <n v="20.774999999999999"/>
    <m/>
    <n v="19.352259630995093"/>
    <m/>
    <m/>
    <m/>
    <m/>
    <m/>
    <m/>
    <m/>
    <m/>
    <m/>
    <m/>
    <m/>
    <m/>
    <n v="11.1858"/>
    <n v="-1.9265999999999988"/>
    <m/>
    <m/>
    <m/>
    <m/>
    <n v="-6.1841999999999997"/>
    <n v="0.76679999999999837"/>
    <n v="31"/>
    <n v="0.79082036450860116"/>
    <n v="0"/>
    <n v="0"/>
    <n v="0"/>
    <n v="0"/>
    <n v="0"/>
    <n v="0"/>
    <n v="0"/>
    <n v="-4.5960702583649926E-2"/>
    <n v="0"/>
    <n v="0"/>
    <n v="0.76652668700430127"/>
    <n v="0"/>
    <n v="0"/>
    <n v="0"/>
    <n v="6.3886189077959843E-2"/>
    <n v="0"/>
    <n v="0"/>
    <m/>
    <n v="0"/>
    <n v="0"/>
    <n v="0"/>
    <n v="0"/>
    <n v="0"/>
    <n v="6.368191009988998E-3"/>
    <n v="0"/>
    <n v="0"/>
    <m/>
    <m/>
    <m/>
    <n v="12.00868842016242"/>
    <n v="0"/>
    <n v="0"/>
    <n v="-6.1842000000000006"/>
    <n v="0.76679999999999637"/>
    <n v="0"/>
    <n v="0"/>
    <n v="-6.2083241847787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0.13300000000000001"/>
    <n v="0.13300000000000001"/>
    <n v="0.13300000000000001"/>
    <n v="0.13300000000000001"/>
    <m/>
    <n v="325.25"/>
    <n v="297.72000000000003"/>
    <m/>
    <n v="82.855010000000007"/>
    <n v="82.855010000000007"/>
    <n v="70.846440000000001"/>
    <n v="0"/>
    <n v="0"/>
    <n v="0"/>
    <n v="0"/>
    <n v="0"/>
    <n v="13.219867922472664"/>
    <n v="26.619259331360034"/>
    <n v="39.597272977832205"/>
    <n v="0"/>
    <n v="0"/>
    <n v="0"/>
    <n v="0"/>
    <n v="0"/>
    <n v="0"/>
    <m/>
    <n v="0.11842146254092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002358708735859"/>
    <n v="0"/>
    <n v="0"/>
    <n v="0"/>
    <n v="6.25"/>
    <n v="1"/>
    <m/>
    <m/>
    <m/>
    <m/>
    <m/>
    <m/>
    <m/>
    <n v="28.33831"/>
    <m/>
    <n v="42.89750884870579"/>
    <m/>
    <m/>
    <m/>
    <m/>
    <m/>
    <m/>
    <m/>
    <m/>
    <m/>
    <m/>
    <m/>
    <m/>
    <n v="41.549300000000002"/>
    <n v="-8.1934400000000025"/>
    <m/>
    <m/>
    <m/>
    <m/>
    <n v="-13.708309999999999"/>
    <n v="1.6997399999999965"/>
    <n v="31"/>
    <n v="1.7529851413274002"/>
    <n v="0"/>
    <n v="0"/>
    <n v="0"/>
    <n v="0"/>
    <n v="0"/>
    <n v="0"/>
    <n v="0"/>
    <n v="-0.10187955739375631"/>
    <n v="0"/>
    <n v="0"/>
    <n v="1.6991341561928692"/>
    <n v="0"/>
    <n v="0"/>
    <n v="0"/>
    <n v="0.14161438578947783"/>
    <n v="0"/>
    <n v="0"/>
    <m/>
    <n v="0"/>
    <n v="0"/>
    <n v="0"/>
    <n v="0"/>
    <n v="0"/>
    <n v="1.4116156738808963E-2"/>
    <n v="0"/>
    <n v="0"/>
    <m/>
    <m/>
    <m/>
    <n v="26.619259331360034"/>
    <n v="0"/>
    <n v="0"/>
    <n v="-13.708310000000001"/>
    <n v="1.6997399999999985"/>
    <n v="0"/>
    <n v="0"/>
    <n v="-13.761785276259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5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0.106"/>
    <n v="0.106"/>
    <n v="0.106"/>
    <n v="0.106"/>
    <m/>
    <n v="325.25"/>
    <n v="297.72000000000003"/>
    <m/>
    <n v="66.034819999999996"/>
    <n v="66.034819999999996"/>
    <n v="56.464079999999996"/>
    <n v="0"/>
    <n v="0"/>
    <n v="0"/>
    <n v="0"/>
    <n v="0"/>
    <n v="10.536135336707536"/>
    <n v="21.215349542286944"/>
    <n v="31.55872883947529"/>
    <n v="0"/>
    <n v="0"/>
    <n v="0"/>
    <n v="0"/>
    <n v="0"/>
    <n v="0"/>
    <m/>
    <n v="9.43810152581826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302631752827073"/>
    <n v="0"/>
    <n v="0"/>
    <n v="0"/>
    <n v="14.5"/>
    <n v="1"/>
    <m/>
    <m/>
    <m/>
    <m/>
    <m/>
    <m/>
    <m/>
    <n v="5.6466200000000004"/>
    <m/>
    <n v="34.188992014758"/>
    <m/>
    <m/>
    <m/>
    <m/>
    <m/>
    <m/>
    <m/>
    <m/>
    <m/>
    <m/>
    <m/>
    <m/>
    <n v="52.735100000000003"/>
    <n v="-6.725919999999995"/>
    <m/>
    <m/>
    <m/>
    <m/>
    <n v="-10.925419999999999"/>
    <n v="1.354679999999997"/>
    <n v="31"/>
    <n v="1.3971159772985189"/>
    <n v="0"/>
    <n v="0"/>
    <n v="0"/>
    <n v="0"/>
    <n v="0"/>
    <n v="0"/>
    <n v="0"/>
    <n v="-8.1197241231114603E-2"/>
    <n v="0"/>
    <n v="0"/>
    <n v="1.3541971470409315"/>
    <n v="0"/>
    <n v="0"/>
    <n v="0"/>
    <n v="0.11286560070439622"/>
    <n v="0"/>
    <n v="0"/>
    <m/>
    <n v="0"/>
    <n v="0"/>
    <n v="0"/>
    <n v="0"/>
    <n v="0"/>
    <n v="1.1250470784313904E-2"/>
    <n v="0"/>
    <n v="0"/>
    <m/>
    <m/>
    <m/>
    <n v="21.215349542286944"/>
    <n v="0"/>
    <n v="0"/>
    <n v="-10.925420000000003"/>
    <n v="1.3546799999999948"/>
    <n v="0"/>
    <n v="0"/>
    <n v="-10.968039393109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6"/>
    <s v="Regular"/>
    <s v="Convencional"/>
    <s v="B3"/>
    <s v="Industrial"/>
    <s v="Não se aplica"/>
    <s v="Não se aplica"/>
    <s v="Não se aplica"/>
    <s v="Não se aplica"/>
    <s v="CATIVO"/>
    <x v="1"/>
    <n v="0"/>
    <n v="0"/>
    <n v="0.36199999999999999"/>
    <n v="0.36199999999999999"/>
    <n v="0.36199999999999999"/>
    <n v="0.36199999999999999"/>
    <m/>
    <n v="395.23"/>
    <n v="297.72000000000003"/>
    <m/>
    <n v="250.84790000000001"/>
    <n v="250.84790000000001"/>
    <n v="222.32229999999998"/>
    <n v="0"/>
    <n v="21.941405832037578"/>
    <n v="0"/>
    <n v="0"/>
    <n v="0"/>
    <n v="35.981896149888001"/>
    <n v="72.452420134979931"/>
    <n v="107.77603622537788"/>
    <n v="0"/>
    <n v="0"/>
    <n v="0"/>
    <n v="0"/>
    <n v="0"/>
    <n v="3.3922612406895238"/>
    <m/>
    <n v="0.32232007097605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825968816258506"/>
    <n v="0"/>
    <n v="0"/>
    <n v="0"/>
    <n v="88.93"/>
    <n v="2"/>
    <m/>
    <m/>
    <m/>
    <m/>
    <m/>
    <m/>
    <m/>
    <m/>
    <m/>
    <n v="116.75863310700373"/>
    <m/>
    <m/>
    <m/>
    <m/>
    <m/>
    <m/>
    <m/>
    <m/>
    <m/>
    <m/>
    <m/>
    <m/>
    <n v="221.09399999999999"/>
    <n v="-29.783899999999988"/>
    <m/>
    <m/>
    <m/>
    <m/>
    <n v="-33.151960000000017"/>
    <n v="4.6263599999999903"/>
    <n v="31"/>
    <n v="8.9283580735809949"/>
    <n v="0"/>
    <n v="0"/>
    <n v="0"/>
    <n v="0"/>
    <n v="0"/>
    <n v="0"/>
    <n v="0"/>
    <n v="-0.2772962389213518"/>
    <n v="0"/>
    <n v="0"/>
    <n v="4.6247110115926091"/>
    <n v="0"/>
    <n v="0"/>
    <n v="0"/>
    <n v="0.38544667410369016"/>
    <n v="0"/>
    <n v="3.6630496325472279"/>
    <m/>
    <n v="0"/>
    <n v="0"/>
    <n v="0"/>
    <n v="0"/>
    <n v="0.49402557516519874"/>
    <n v="3.8421419093600362E-2"/>
    <n v="0"/>
    <n v="0"/>
    <m/>
    <m/>
    <m/>
    <n v="72.452420134979931"/>
    <n v="0"/>
    <n v="0"/>
    <n v="-33.151960000000017"/>
    <n v="4.6263599999999911"/>
    <n v="0"/>
    <n v="0"/>
    <n v="-37.45688924816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7"/>
    <s v="Regular"/>
    <s v="Azul"/>
    <s v="A4"/>
    <s v="Industrial"/>
    <s v="Não se aplica"/>
    <s v="Não se aplica"/>
    <s v="Não se aplica"/>
    <s v="Ponta"/>
    <s v="CATIVO"/>
    <x v="1"/>
    <n v="580"/>
    <n v="580"/>
    <n v="23.850999999999999"/>
    <n v="23.850999999999999"/>
    <n v="23.850999999999999"/>
    <n v="23.850999999999999"/>
    <n v="78.569999999999993"/>
    <n v="72.290000000000006"/>
    <n v="297.72000000000003"/>
    <n v="45570.6"/>
    <n v="8825.1085100000018"/>
    <n v="54395.708509999997"/>
    <n v="40402.337440000003"/>
    <n v="0"/>
    <n v="1257.7135064501051"/>
    <n v="0"/>
    <n v="0"/>
    <n v="0"/>
    <n v="17679.468868093922"/>
    <n v="27892.700319820804"/>
    <n v="7101.0117127389167"/>
    <n v="0"/>
    <n v="0"/>
    <n v="0"/>
    <n v="0"/>
    <n v="0"/>
    <n v="223.50503550189458"/>
    <m/>
    <n v="14.381051172757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50337644073446"/>
    <n v="0"/>
    <n v="0"/>
    <n v="0"/>
    <n v="0"/>
    <n v="0"/>
    <m/>
    <m/>
    <m/>
    <m/>
    <m/>
    <m/>
    <m/>
    <m/>
    <m/>
    <n v="7329.5150891796511"/>
    <m/>
    <m/>
    <m/>
    <m/>
    <m/>
    <m/>
    <m/>
    <m/>
    <m/>
    <m/>
    <m/>
    <m/>
    <n v="40401.944000000003"/>
    <n v="-13993.79451"/>
    <m/>
    <m/>
    <m/>
    <m/>
    <n v="-14298.186849999996"/>
    <n v="304.81577999999934"/>
    <n v="31"/>
    <n v="422.49997393967715"/>
    <n v="0"/>
    <n v="0"/>
    <n v="0"/>
    <n v="0"/>
    <n v="0"/>
    <n v="0"/>
    <n v="0"/>
    <n v="-136.24768975006373"/>
    <n v="0"/>
    <n v="0"/>
    <n v="304.70713352899293"/>
    <n v="0"/>
    <n v="0"/>
    <n v="0"/>
    <n v="9.8051674400201705"/>
    <n v="0"/>
    <n v="209.97136796607242"/>
    <m/>
    <n v="0"/>
    <n v="0"/>
    <n v="0"/>
    <n v="0"/>
    <n v="32.549734788025233"/>
    <n v="1.7142599666282052"/>
    <n v="0"/>
    <n v="0"/>
    <m/>
    <m/>
    <n v="27892.700319820804"/>
    <n v="0"/>
    <n v="0"/>
    <n v="0"/>
    <n v="-14298.186849999998"/>
    <n v="304.81577999999899"/>
    <n v="0"/>
    <n v="0"/>
    <n v="-14420.136480815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8"/>
    <s v="Regular"/>
    <s v="Azul"/>
    <s v="A4"/>
    <s v="Industrial"/>
    <s v="Não se aplica"/>
    <s v="Não se aplica"/>
    <s v="Não se aplica"/>
    <s v="Fora ponta"/>
    <s v="CATIVO"/>
    <x v="1"/>
    <n v="627"/>
    <n v="627"/>
    <n v="200.47399999999999"/>
    <n v="200.47399999999999"/>
    <n v="200.47399999999999"/>
    <n v="200.47399999999999"/>
    <n v="25.76"/>
    <n v="72.290000000000006"/>
    <n v="297.72000000000003"/>
    <n v="16151.52"/>
    <n v="74177.384739999994"/>
    <n v="90328.904739999998"/>
    <n v="90611.930559999993"/>
    <n v="0"/>
    <n v="10571.416606938006"/>
    <n v="0"/>
    <n v="0"/>
    <n v="0"/>
    <n v="7724.8765805421899"/>
    <n v="8425.7902974802728"/>
    <n v="59685.892503443109"/>
    <n v="0"/>
    <n v="0"/>
    <n v="0"/>
    <n v="0"/>
    <n v="0"/>
    <n v="1878.6192816740099"/>
    <m/>
    <n v="120.87656084891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0.6316669565133"/>
    <n v="0"/>
    <n v="0"/>
    <n v="0"/>
    <n v="0"/>
    <n v="0"/>
    <m/>
    <m/>
    <m/>
    <m/>
    <m/>
    <m/>
    <m/>
    <m/>
    <m/>
    <n v="61606.524170399622"/>
    <m/>
    <m/>
    <m/>
    <m/>
    <m/>
    <m/>
    <m/>
    <m/>
    <m/>
    <m/>
    <m/>
    <m/>
    <n v="90610.356799999994"/>
    <n v="281.42205999999715"/>
    <m/>
    <m/>
    <m/>
    <m/>
    <n v="-2279.0319000000036"/>
    <n v="2562.0577199999943"/>
    <n v="31"/>
    <n v="4636.8906166314264"/>
    <n v="0"/>
    <n v="0"/>
    <n v="0"/>
    <n v="0"/>
    <n v="0"/>
    <n v="0"/>
    <n v="0"/>
    <n v="-59.532138411846972"/>
    <n v="0"/>
    <n v="0"/>
    <n v="2561.1445175083354"/>
    <n v="0"/>
    <n v="0"/>
    <n v="0"/>
    <n v="82.415040768546532"/>
    <n v="0"/>
    <n v="1764.8652057201125"/>
    <m/>
    <n v="0"/>
    <n v="0"/>
    <n v="0"/>
    <n v="0"/>
    <n v="273.58917998803327"/>
    <n v="14.408811058229119"/>
    <n v="0"/>
    <n v="0"/>
    <m/>
    <m/>
    <n v="8425.7902974802728"/>
    <n v="0"/>
    <n v="0"/>
    <n v="0"/>
    <n v="-2279.0319000000018"/>
    <n v="2562.0577199999971"/>
    <n v="0"/>
    <n v="0"/>
    <n v="-4356.0158986132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9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4289.4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30"/>
    <s v="Regular"/>
    <s v="Verde"/>
    <s v="A4"/>
    <s v="Industrial"/>
    <s v="Não se aplica"/>
    <s v="Não se aplica"/>
    <s v="Não se aplica"/>
    <s v="Ponta"/>
    <s v="CATIVO"/>
    <x v="1"/>
    <n v="0"/>
    <n v="0"/>
    <n v="42.656999999999996"/>
    <n v="42.656999999999996"/>
    <n v="42.656999999999996"/>
    <n v="42.656999999999996"/>
    <m/>
    <n v="1962.25"/>
    <n v="297.72000000000003"/>
    <m/>
    <n v="96403.54028999999"/>
    <n v="96403.54028999999"/>
    <n v="71655.655169999984"/>
    <n v="0"/>
    <n v="2249.3935283485862"/>
    <n v="0"/>
    <n v="0"/>
    <n v="0"/>
    <n v="31283.852500676006"/>
    <n v="49336.510465558022"/>
    <n v="12700.006567032995"/>
    <n v="0"/>
    <n v="0"/>
    <n v="0"/>
    <n v="0"/>
    <n v="0"/>
    <n v="399.73394404445582"/>
    <m/>
    <n v="25.7202004056983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.67336920181162"/>
    <n v="0"/>
    <n v="0"/>
    <n v="0"/>
    <n v="0"/>
    <n v="0"/>
    <m/>
    <m/>
    <m/>
    <m/>
    <m/>
    <m/>
    <m/>
    <m/>
    <m/>
    <n v="13108.679936234807"/>
    <m/>
    <m/>
    <m/>
    <m/>
    <m/>
    <m/>
    <m/>
    <m/>
    <m/>
    <m/>
    <m/>
    <m/>
    <n v="71660.694599999988"/>
    <n v="-24742.875689999986"/>
    <m/>
    <m/>
    <m/>
    <m/>
    <n v="-25293.041580000001"/>
    <n v="545.15645999999879"/>
    <n v="31"/>
    <n v="758.21763072213071"/>
    <n v="0"/>
    <n v="0"/>
    <n v="0"/>
    <n v="0"/>
    <n v="0"/>
    <n v="0"/>
    <n v="0"/>
    <n v="-241.09053623159707"/>
    <n v="0"/>
    <n v="0"/>
    <n v="544.96214812570724"/>
    <n v="0"/>
    <n v="0"/>
    <n v="0"/>
    <n v="17.536330866166622"/>
    <n v="0"/>
    <n v="375.52927102967396"/>
    <m/>
    <n v="0"/>
    <n v="0"/>
    <n v="0"/>
    <n v="0"/>
    <n v="58.21449988901071"/>
    <n v="3.0659170431621057"/>
    <n v="0"/>
    <n v="0"/>
    <m/>
    <m/>
    <m/>
    <n v="49336.510465558022"/>
    <n v="0"/>
    <n v="0"/>
    <n v="-25293.041579999997"/>
    <n v="545.15646000000015"/>
    <n v="0"/>
    <n v="0"/>
    <n v="-25506.286814940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1"/>
    <s v="Regular"/>
    <s v="Verde"/>
    <s v="A4"/>
    <s v="Industrial"/>
    <s v="Não se aplica"/>
    <s v="Não se aplica"/>
    <s v="Não se aplica"/>
    <s v="Fora ponta"/>
    <s v="CATIVO"/>
    <x v="1"/>
    <n v="0"/>
    <n v="0"/>
    <n v="625.97199999999998"/>
    <n v="625.97199999999998"/>
    <n v="625.97199999999998"/>
    <n v="625.97199999999998"/>
    <m/>
    <n v="72.290000000000006"/>
    <n v="297.72000000000003"/>
    <m/>
    <n v="231615.89972000002"/>
    <n v="231615.89972000002"/>
    <n v="246282.42367999998"/>
    <n v="0"/>
    <n v="33008.823070713399"/>
    <n v="0"/>
    <n v="0"/>
    <n v="0"/>
    <n v="0"/>
    <n v="0"/>
    <n v="186366.7981990946"/>
    <n v="0"/>
    <n v="0"/>
    <n v="0"/>
    <n v="0"/>
    <n v="0"/>
    <n v="5865.9131308201731"/>
    <m/>
    <n v="377.43219842829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97.095113720994"/>
    <n v="0"/>
    <n v="0"/>
    <n v="0"/>
    <n v="0"/>
    <n v="0"/>
    <m/>
    <m/>
    <m/>
    <m/>
    <m/>
    <m/>
    <m/>
    <m/>
    <m/>
    <n v="192363.89331281561"/>
    <m/>
    <m/>
    <m/>
    <m/>
    <m/>
    <m/>
    <m/>
    <m/>
    <m/>
    <m/>
    <m/>
    <m/>
    <n v="246281.63680000001"/>
    <n v="14665.707079999964"/>
    <m/>
    <m/>
    <m/>
    <m/>
    <n v="6666.601799999994"/>
    <n v="7999.9221599999828"/>
    <n v="31"/>
    <n v="14664.39111715203"/>
    <n v="0"/>
    <n v="0"/>
    <n v="0"/>
    <n v="0"/>
    <n v="0"/>
    <n v="0"/>
    <n v="0"/>
    <n v="0"/>
    <n v="0"/>
    <n v="0"/>
    <n v="7997.0707219575997"/>
    <n v="0"/>
    <n v="0"/>
    <n v="0"/>
    <n v="257.3376492710704"/>
    <n v="0"/>
    <n v="5510.7206049414381"/>
    <m/>
    <n v="0"/>
    <n v="0"/>
    <n v="0"/>
    <n v="0"/>
    <n v="854.27120811411532"/>
    <n v="44.990932867812319"/>
    <n v="0"/>
    <n v="0"/>
    <m/>
    <m/>
    <m/>
    <n v="0"/>
    <n v="0"/>
    <n v="0"/>
    <n v="6666.6017999999967"/>
    <n v="7999.9221599999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2"/>
    <s v="Regular"/>
    <s v="Verde"/>
    <s v="A4"/>
    <s v="Industrial"/>
    <s v="Não se aplica"/>
    <s v="Não se aplica"/>
    <s v="Não se aplica"/>
    <s v="Não se aplica"/>
    <s v="CATIVO"/>
    <x v="1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9327.76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1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33"/>
    <s v="Regular"/>
    <s v="Convencional"/>
    <s v="B3"/>
    <s v="Comercial"/>
    <s v="Não se aplica"/>
    <s v="Não se aplica"/>
    <s v="Não se aplica"/>
    <s v="Não se aplica"/>
    <s v="CATIVO"/>
    <x v="1"/>
    <n v="0"/>
    <n v="0"/>
    <n v="17.728000000000002"/>
    <n v="17.728000000000002"/>
    <n v="17.728000000000002"/>
    <n v="17.728000000000002"/>
    <m/>
    <n v="395.23"/>
    <n v="297.72000000000003"/>
    <m/>
    <n v="12284.617600000001"/>
    <n v="12284.617600000001"/>
    <n v="10887.6512"/>
    <n v="0"/>
    <n v="1074.5227695866361"/>
    <n v="0"/>
    <n v="0"/>
    <n v="0"/>
    <n v="1762.1189363127473"/>
    <n v="3548.1671385439904"/>
    <n v="5278.0485364737551"/>
    <n v="0"/>
    <n v="0"/>
    <n v="0"/>
    <n v="0"/>
    <n v="0"/>
    <n v="166.12709191973451"/>
    <m/>
    <n v="15.7847796084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9.89910916426265"/>
    <n v="0"/>
    <n v="0"/>
    <n v="0"/>
    <n v="4111.21"/>
    <n v="45"/>
    <m/>
    <m/>
    <m/>
    <m/>
    <m/>
    <m/>
    <m/>
    <m/>
    <m/>
    <n v="5717.947645638018"/>
    <m/>
    <m/>
    <m/>
    <m/>
    <m/>
    <m/>
    <m/>
    <m/>
    <m/>
    <m/>
    <m/>
    <m/>
    <n v="10888.879499999999"/>
    <n v="-1395.768100000003"/>
    <m/>
    <m/>
    <m/>
    <m/>
    <n v="-1623.530240000001"/>
    <n v="226.56383999999954"/>
    <n v="31"/>
    <n v="437.2429058796788"/>
    <n v="0"/>
    <n v="0"/>
    <n v="0"/>
    <n v="0"/>
    <n v="0"/>
    <n v="0"/>
    <n v="0"/>
    <n v="-13.579855590048965"/>
    <n v="0"/>
    <n v="0"/>
    <n v="226.48308512020412"/>
    <n v="0"/>
    <n v="0"/>
    <n v="0"/>
    <n v="18.876239332901264"/>
    <n v="0"/>
    <n v="179.38824277844537"/>
    <m/>
    <n v="0"/>
    <n v="0"/>
    <n v="0"/>
    <n v="0"/>
    <n v="24.193606067758651"/>
    <n v="1.8815881704180839"/>
    <n v="0"/>
    <n v="0"/>
    <m/>
    <m/>
    <m/>
    <n v="3548.1671385439904"/>
    <n v="0"/>
    <n v="0"/>
    <n v="-1623.530240000001"/>
    <n v="226.5638399999998"/>
    <n v="0"/>
    <n v="0"/>
    <n v="-1834.3528524626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4"/>
    <s v="Regular"/>
    <s v="Convencional"/>
    <s v="B2"/>
    <s v="Rural"/>
    <s v="Não se aplica"/>
    <s v="Não se aplica"/>
    <s v="Não se aplica"/>
    <s v="Não se aplica"/>
    <s v="CATIVO"/>
    <x v="1"/>
    <n v="0"/>
    <n v="0"/>
    <n v="443.80099999999999"/>
    <n v="443.80099999999999"/>
    <n v="443.80099999999999"/>
    <n v="443.80099999999999"/>
    <m/>
    <n v="395.23"/>
    <n v="297.72000000000003"/>
    <m/>
    <n v="307531.90295000002"/>
    <n v="307531.90295000002"/>
    <n v="272560.38414999994"/>
    <n v="0"/>
    <n v="26899.496822276546"/>
    <n v="0"/>
    <n v="0"/>
    <n v="0"/>
    <n v="44112.71130722775"/>
    <n v="88824.465492608375"/>
    <n v="132130.14544988654"/>
    <n v="0"/>
    <n v="0"/>
    <n v="0"/>
    <n v="0"/>
    <n v="0"/>
    <n v="4158.8092013238993"/>
    <m/>
    <n v="395.15461276034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12.390825034348"/>
    <n v="0"/>
    <n v="0.57999999999999996"/>
    <n v="2.73"/>
    <n v="78085.53"/>
    <n v="949"/>
    <m/>
    <m/>
    <m/>
    <m/>
    <m/>
    <n v="32708.133699999991"/>
    <m/>
    <m/>
    <m/>
    <n v="143142.53627492089"/>
    <m/>
    <m/>
    <m/>
    <m/>
    <m/>
    <m/>
    <m/>
    <m/>
    <m/>
    <m/>
    <m/>
    <m/>
    <n v="239851.71000000002"/>
    <n v="-30778.169799999974"/>
    <m/>
    <m/>
    <m/>
    <m/>
    <n v="-40643.29558000002"/>
    <n v="5671.7767799999874"/>
    <n v="31"/>
    <n v="10945.895694511913"/>
    <n v="0"/>
    <n v="0"/>
    <n v="0"/>
    <n v="0"/>
    <n v="0"/>
    <n v="0"/>
    <n v="0"/>
    <n v="-339.95676278877363"/>
    <n v="0"/>
    <n v="0"/>
    <n v="5669.7551703199279"/>
    <n v="0"/>
    <n v="0"/>
    <n v="0"/>
    <n v="472.54590998312779"/>
    <n v="0"/>
    <n v="4490.7875413648981"/>
    <m/>
    <n v="0"/>
    <n v="0"/>
    <n v="0"/>
    <n v="0"/>
    <n v="605.66034332566323"/>
    <n v="47.103492307068791"/>
    <n v="0"/>
    <n v="0"/>
    <m/>
    <m/>
    <m/>
    <n v="88824.465492608375"/>
    <n v="0"/>
    <n v="0"/>
    <n v="-40643.295580000035"/>
    <n v="5671.7767799999856"/>
    <n v="0"/>
    <n v="0"/>
    <n v="-45921.008025483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5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745"/>
    <n v="-0.745"/>
    <n v="-0.745"/>
    <n v="-0.745"/>
    <m/>
    <n v="395.23"/>
    <n v="297.72000000000003"/>
    <m/>
    <n v="-516.24775"/>
    <n v="-516.24775"/>
    <n v="-457.54174999999998"/>
    <n v="0"/>
    <n v="-45.155655648806622"/>
    <n v="0"/>
    <n v="0"/>
    <n v="0"/>
    <n v="-74.051139866482217"/>
    <n v="-149.10788121701671"/>
    <n v="-221.80427344725558"/>
    <n v="0"/>
    <n v="0"/>
    <n v="0"/>
    <n v="0"/>
    <n v="0"/>
    <n v="-6.9813111168886612"/>
    <m/>
    <n v="-0.66333826761647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48628363760016"/>
    <n v="0"/>
    <n v="0"/>
    <n v="0"/>
    <n v="-155.68"/>
    <n v="0"/>
    <m/>
    <m/>
    <m/>
    <m/>
    <m/>
    <n v="-54.906499999999994"/>
    <m/>
    <m/>
    <m/>
    <n v="-240.29055708485575"/>
    <m/>
    <m/>
    <m/>
    <m/>
    <m/>
    <m/>
    <m/>
    <m/>
    <m/>
    <m/>
    <m/>
    <m/>
    <n v="-405.33749999999998"/>
    <n v="48.933500000000038"/>
    <m/>
    <m/>
    <m/>
    <m/>
    <n v="68.227100000000036"/>
    <n v="-9.5210999999999792"/>
    <n v="31"/>
    <n v="-18.374659571320024"/>
    <n v="0"/>
    <n v="0"/>
    <n v="0"/>
    <n v="0"/>
    <n v="0"/>
    <n v="0"/>
    <n v="0"/>
    <n v="0.5706787237469797"/>
    <n v="0"/>
    <n v="0"/>
    <n v="-9.5177063636367336"/>
    <n v="0"/>
    <n v="0"/>
    <n v="0"/>
    <n v="-0.79325351438466996"/>
    <n v="0"/>
    <n v="-7.5385966194687413"/>
    <m/>
    <n v="0"/>
    <n v="0"/>
    <n v="0"/>
    <n v="0"/>
    <n v="-1.0167100925361128"/>
    <n v="-7.9071705040696827E-2"/>
    <n v="0"/>
    <n v="0"/>
    <m/>
    <m/>
    <m/>
    <n v="-149.10788121701671"/>
    <n v="0"/>
    <n v="0"/>
    <n v="68.227100000000007"/>
    <n v="-9.5210999999999615"/>
    <n v="0"/>
    <n v="0"/>
    <n v="77.086691961002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6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8.138999999999999"/>
    <n v="18.138999999999999"/>
    <n v="18.138999999999999"/>
    <n v="18.138999999999999"/>
    <m/>
    <n v="395.23"/>
    <n v="297.72000000000003"/>
    <m/>
    <n v="12569.420050000001"/>
    <n v="12569.420050000001"/>
    <n v="11140.066849999999"/>
    <n v="0"/>
    <n v="1099.4341447163802"/>
    <n v="0"/>
    <n v="0"/>
    <n v="0"/>
    <n v="1802.9713101182831"/>
    <n v="3630.4266542221026"/>
    <n v="5400.4130416909647"/>
    <n v="0"/>
    <n v="0"/>
    <n v="0"/>
    <n v="0"/>
    <n v="0"/>
    <n v="169.97852664327976"/>
    <m/>
    <n v="16.150728639322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0.09758241936822"/>
    <n v="0"/>
    <n v="0"/>
    <n v="0"/>
    <n v="9198.9500000000007"/>
    <n v="15"/>
    <m/>
    <m/>
    <m/>
    <m/>
    <m/>
    <n v="1336.8442999999997"/>
    <m/>
    <m/>
    <m/>
    <n v="5850.5106241103331"/>
    <m/>
    <m/>
    <m/>
    <m/>
    <m/>
    <m/>
    <m/>
    <m/>
    <m/>
    <m/>
    <m/>
    <m/>
    <n v="9803.7630000000008"/>
    <n v="-1257.4291999999987"/>
    <m/>
    <m/>
    <m/>
    <m/>
    <n v="-1661.1696200000006"/>
    <n v="231.81641999999951"/>
    <n v="31"/>
    <n v="447.37979860962878"/>
    <n v="0"/>
    <n v="0"/>
    <n v="0"/>
    <n v="0"/>
    <n v="0"/>
    <n v="0"/>
    <n v="0"/>
    <n v="-13.894686402747084"/>
    <n v="0"/>
    <n v="0"/>
    <n v="231.73379292618392"/>
    <n v="0"/>
    <n v="0"/>
    <n v="0"/>
    <n v="19.31385972808522"/>
    <n v="0"/>
    <n v="183.54711957119935"/>
    <m/>
    <n v="0"/>
    <n v="0"/>
    <n v="0"/>
    <n v="0"/>
    <n v="24.754502508070544"/>
    <n v="1.9252102788365093"/>
    <n v="0"/>
    <n v="0"/>
    <m/>
    <m/>
    <m/>
    <n v="3630.4266542221026"/>
    <n v="0"/>
    <n v="0"/>
    <n v="-1661.1696200000006"/>
    <n v="231.8164199999992"/>
    <n v="0"/>
    <n v="0"/>
    <n v="-1876.8798731283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7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0.81100000000000005"/>
    <n v="0.81100000000000005"/>
    <n v="0.81100000000000005"/>
    <n v="0.81100000000000005"/>
    <m/>
    <n v="395.23"/>
    <n v="297.72000000000003"/>
    <m/>
    <n v="561.98245000000009"/>
    <n v="561.98245000000009"/>
    <n v="498.07565"/>
    <n v="0"/>
    <n v="49.156022457962649"/>
    <n v="0"/>
    <n v="0"/>
    <n v="0"/>
    <n v="80.611375076130315"/>
    <n v="162.3174384791954"/>
    <n v="241.45404800768361"/>
    <n v="0"/>
    <n v="0"/>
    <n v="0"/>
    <n v="0"/>
    <n v="0"/>
    <n v="7.5997896856331604"/>
    <m/>
    <n v="0.72210380541873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23994671266754"/>
    <n v="0"/>
    <n v="0"/>
    <n v="0"/>
    <n v="199.22"/>
    <n v="17"/>
    <m/>
    <m/>
    <m/>
    <m/>
    <m/>
    <m/>
    <m/>
    <m/>
    <m/>
    <n v="261.57804267895034"/>
    <m/>
    <m/>
    <m/>
    <m/>
    <m/>
    <m/>
    <m/>
    <m/>
    <m/>
    <m/>
    <m/>
    <m/>
    <n v="497.4615"/>
    <n v="-64.550950000000057"/>
    <m/>
    <m/>
    <m/>
    <m/>
    <n v="-74.271380000000036"/>
    <n v="10.364579999999979"/>
    <n v="31"/>
    <n v="20.00248176153093"/>
    <n v="0"/>
    <n v="0"/>
    <n v="0"/>
    <n v="0"/>
    <n v="0"/>
    <n v="0"/>
    <n v="0"/>
    <n v="-0.62123549658900856"/>
    <n v="0"/>
    <n v="0"/>
    <n v="10.360885719341468"/>
    <n v="0"/>
    <n v="0"/>
    <n v="0"/>
    <n v="0.86352832237042421"/>
    <n v="0"/>
    <n v="8.2064454475022117"/>
    <m/>
    <n v="0"/>
    <n v="0"/>
    <n v="0"/>
    <n v="0"/>
    <n v="1.1067810537540783"/>
    <n v="8.6076715151684802E-2"/>
    <n v="0"/>
    <n v="0"/>
    <m/>
    <m/>
    <m/>
    <n v="162.3174384791954"/>
    <n v="0"/>
    <n v="0"/>
    <n v="-74.271380000000022"/>
    <n v="10.364579999999989"/>
    <n v="0"/>
    <n v="0"/>
    <n v="-83.91584856425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8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1.094000000000001"/>
    <n v="21.094000000000001"/>
    <n v="21.094000000000001"/>
    <n v="21.094000000000001"/>
    <m/>
    <n v="217.38"/>
    <n v="163.75"/>
    <m/>
    <n v="8039.5562200000004"/>
    <n v="8039.5562200000004"/>
    <n v="7125.1313200000004"/>
    <n v="0"/>
    <n v="703.19781226947646"/>
    <n v="0"/>
    <n v="0"/>
    <n v="0"/>
    <n v="1153.1800126026399"/>
    <n v="2322.0200074033091"/>
    <n v="3454.1028714805689"/>
    <n v="0"/>
    <n v="0"/>
    <n v="0"/>
    <n v="0"/>
    <n v="0"/>
    <n v="108.71822440913708"/>
    <m/>
    <n v="10.330002120008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88230453469242"/>
    <n v="0"/>
    <n v="0"/>
    <n v="0"/>
    <n v="3373.48"/>
    <n v="1"/>
    <m/>
    <m/>
    <m/>
    <m/>
    <m/>
    <m/>
    <m/>
    <m/>
    <m/>
    <n v="3741.9851760152615"/>
    <m/>
    <m/>
    <m/>
    <m/>
    <m/>
    <m/>
    <m/>
    <m/>
    <m/>
    <m/>
    <m/>
    <m/>
    <n v="7123.7802000000001"/>
    <n v="-915.8060200000009"/>
    <m/>
    <m/>
    <m/>
    <m/>
    <n v="-1062.5047800000002"/>
    <n v="148.07988000000023"/>
    <n v="31"/>
    <n v="286.14401066924438"/>
    <n v="0"/>
    <n v="0"/>
    <n v="0"/>
    <n v="0"/>
    <n v="0"/>
    <n v="0"/>
    <n v="0"/>
    <n v="-8.8870380527450834"/>
    <n v="0"/>
    <n v="0"/>
    <n v="148.216877743635"/>
    <n v="0"/>
    <n v="0"/>
    <n v="0"/>
    <n v="12.353139997096207"/>
    <n v="0"/>
    <n v="117.39669315448316"/>
    <m/>
    <n v="0"/>
    <n v="0"/>
    <n v="0"/>
    <n v="0"/>
    <n v="15.832973799431684"/>
    <n v="1.231364027343167"/>
    <n v="0"/>
    <n v="0"/>
    <m/>
    <m/>
    <m/>
    <n v="2322.0200074033091"/>
    <n v="0"/>
    <n v="0"/>
    <n v="-1062.5047800000007"/>
    <n v="148.07988000000023"/>
    <n v="0"/>
    <n v="0"/>
    <n v="-1200.4519115757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39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0.68899999999999995"/>
    <n v="0.6476599999999999"/>
    <n v="0.68899999999999995"/>
    <n v="0.6476599999999999"/>
    <m/>
    <n v="395.23"/>
    <n v="297.72000000000003"/>
    <m/>
    <n v="477.44254999999998"/>
    <n v="477.44254999999998"/>
    <n v="423.14934999999991"/>
    <n v="0"/>
    <n v="41.761405022856053"/>
    <n v="0"/>
    <n v="0"/>
    <n v="0"/>
    <n v="68.48487968859898"/>
    <n v="137.89977202486511"/>
    <n v="205.13173745658938"/>
    <n v="0"/>
    <n v="0"/>
    <n v="0"/>
    <n v="0"/>
    <n v="0"/>
    <n v="6.4565414221963593"/>
    <m/>
    <n v="0.61347659917818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096710639337598"/>
    <n v="0"/>
    <n v="0"/>
    <n v="0"/>
    <n v="169.28"/>
    <n v="2"/>
    <m/>
    <m/>
    <m/>
    <m/>
    <n v="25.388961000000023"/>
    <m/>
    <m/>
    <m/>
    <m/>
    <n v="222.22844809592698"/>
    <m/>
    <m/>
    <m/>
    <m/>
    <m/>
    <m/>
    <m/>
    <m/>
    <m/>
    <m/>
    <m/>
    <m/>
    <n v="399.19749999999999"/>
    <n v="-49.628496999999925"/>
    <m/>
    <m/>
    <m/>
    <m/>
    <n v="-63.098620000000025"/>
    <n v="8.8054199999999803"/>
    <n v="31"/>
    <n v="16.993477106898638"/>
    <n v="0"/>
    <n v="0"/>
    <n v="0"/>
    <n v="0"/>
    <n v="0"/>
    <n v="0"/>
    <n v="0"/>
    <n v="-0.5277820680022387"/>
    <n v="0"/>
    <n v="0"/>
    <n v="8.8022814557660638"/>
    <n v="0"/>
    <n v="0"/>
    <n v="0"/>
    <n v="0.73362640457857253"/>
    <n v="0"/>
    <n v="6.9719370078039802"/>
    <m/>
    <n v="0"/>
    <n v="0"/>
    <n v="0"/>
    <n v="0"/>
    <n v="0.94028624665420324"/>
    <n v="7.3128060098040293E-2"/>
    <n v="0"/>
    <n v="0"/>
    <m/>
    <m/>
    <m/>
    <n v="137.89977202486511"/>
    <n v="0"/>
    <n v="0"/>
    <n v="-63.098620000000039"/>
    <n v="8.8054199999999696"/>
    <n v="0"/>
    <n v="0"/>
    <n v="-71.292256055209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0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41"/>
    <s v="Regular"/>
    <s v="Convencional"/>
    <s v="B2"/>
    <s v="Rural"/>
    <s v="Agropecuária rural"/>
    <s v="IRRIG./AQUIC."/>
    <s v="Não se aplica"/>
    <s v="Não se aplica"/>
    <s v="CATIVO"/>
    <x v="1"/>
    <n v="0"/>
    <n v="0"/>
    <n v="0.104"/>
    <n v="0.104"/>
    <n v="0.104"/>
    <n v="0.104"/>
    <m/>
    <n v="395.23"/>
    <n v="297.72000000000003"/>
    <m/>
    <n v="72.066800000000001"/>
    <n v="72.066800000000001"/>
    <n v="63.871600000000001"/>
    <n v="0"/>
    <n v="6.3036083053367626"/>
    <n v="0"/>
    <n v="0"/>
    <n v="0"/>
    <n v="10.337340330354564"/>
    <n v="20.815059928281528"/>
    <n v="30.963281125522926"/>
    <n v="0"/>
    <n v="0"/>
    <n v="0"/>
    <n v="0"/>
    <n v="0"/>
    <n v="0.97457229014284663"/>
    <m/>
    <n v="9.260024138538679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806355682019015"/>
    <n v="0"/>
    <n v="0"/>
    <n v="0"/>
    <n v="0"/>
    <n v="0"/>
    <m/>
    <m/>
    <m/>
    <m/>
    <m/>
    <n v="8.9283999999999963"/>
    <m/>
    <m/>
    <m/>
    <n v="33.543916693724825"/>
    <m/>
    <m/>
    <m/>
    <m/>
    <m/>
    <m/>
    <m/>
    <m/>
    <m/>
    <m/>
    <m/>
    <m/>
    <n v="52.83"/>
    <n v="-8.9749599999999958"/>
    <m/>
    <m/>
    <m/>
    <m/>
    <n v="-9.524320000000003"/>
    <n v="1.3291199999999972"/>
    <n v="31"/>
    <n v="2.5650531482111134"/>
    <n v="0"/>
    <n v="0"/>
    <n v="0"/>
    <n v="0"/>
    <n v="0"/>
    <n v="0"/>
    <n v="0"/>
    <n v="-7.9665217811658806E-2"/>
    <n v="0"/>
    <n v="0"/>
    <n v="1.3286462574741194"/>
    <n v="0"/>
    <n v="0"/>
    <n v="0"/>
    <n v="0.11073606106846379"/>
    <n v="0"/>
    <n v="1.052367850234563"/>
    <m/>
    <n v="0"/>
    <n v="0"/>
    <n v="0"/>
    <n v="0"/>
    <n v="0.14192999949497409"/>
    <n v="1.1038197750647613E-2"/>
    <n v="0"/>
    <n v="0"/>
    <m/>
    <m/>
    <m/>
    <n v="20.815059928281528"/>
    <n v="0"/>
    <n v="0"/>
    <n v="-9.5243200000000066"/>
    <n v="1.3291199999999996"/>
    <n v="0"/>
    <n v="0"/>
    <n v="-10.76109525361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2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.4999999999999999E-2"/>
    <n v="6.0000000000000001E-3"/>
    <n v="1.4999999999999999E-2"/>
    <n v="6.0000000000000001E-3"/>
    <m/>
    <n v="395.23"/>
    <n v="297.72000000000003"/>
    <m/>
    <n v="10.39425"/>
    <n v="10.39425"/>
    <n v="9.2122499999999992"/>
    <n v="0"/>
    <n v="0.90917427480818702"/>
    <n v="0"/>
    <n v="0"/>
    <n v="0"/>
    <n v="1.490962547647293"/>
    <n v="3.0021721050406049"/>
    <n v="4.4658578546427297"/>
    <n v="0"/>
    <n v="0"/>
    <n v="0"/>
    <n v="0"/>
    <n v="0"/>
    <n v="0.1405633110782952"/>
    <m/>
    <n v="1.3355804045969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7220705310604352"/>
    <n v="0"/>
    <n v="0"/>
    <n v="0"/>
    <n v="0"/>
    <n v="0"/>
    <m/>
    <m/>
    <m/>
    <m/>
    <m/>
    <m/>
    <n v="6.0424499999999988"/>
    <m/>
    <m/>
    <n v="4.8380649077487732"/>
    <m/>
    <m/>
    <m/>
    <m/>
    <m/>
    <m/>
    <m/>
    <m/>
    <m/>
    <m/>
    <m/>
    <m/>
    <n v="5.2830000000000004"/>
    <n v="1.6890600000000009"/>
    <m/>
    <m/>
    <m/>
    <m/>
    <n v="-1.3737000000000006"/>
    <n v="0.19169999999999959"/>
    <n v="31"/>
    <n v="0.36995958868429568"/>
    <n v="0"/>
    <n v="0"/>
    <n v="0"/>
    <n v="0"/>
    <n v="0"/>
    <n v="0"/>
    <n v="0"/>
    <n v="-1.1490175645912482E-2"/>
    <n v="0"/>
    <n v="0"/>
    <n v="0.19163167175107532"/>
    <n v="0"/>
    <n v="0"/>
    <n v="0"/>
    <n v="1.5971547269489961E-2"/>
    <n v="0"/>
    <n v="0.15178382455306183"/>
    <m/>
    <n v="0"/>
    <n v="0"/>
    <n v="0"/>
    <n v="0"/>
    <n v="2.0470673004082784E-2"/>
    <n v="1.5920477524972495E-3"/>
    <n v="0"/>
    <n v="0"/>
    <m/>
    <m/>
    <m/>
    <n v="3.0021721050406049"/>
    <n v="0"/>
    <n v="0"/>
    <n v="-1.3737000000000004"/>
    <n v="0.19169999999999909"/>
    <n v="0"/>
    <n v="0"/>
    <n v="-1.552081046194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2"/>
    <n v="0"/>
    <n v="0"/>
    <n v="35.085000000000001"/>
    <n v="35.085000000000001"/>
    <n v="35.085000000000001"/>
    <n v="35.085000000000001"/>
    <m/>
    <n v="395.23"/>
    <n v="297.72000000000003"/>
    <m/>
    <n v="24312.150750000001"/>
    <n v="24312.150750000001"/>
    <n v="21547.452749999997"/>
    <n v="0"/>
    <n v="2126.5586287763495"/>
    <n v="0"/>
    <n v="0"/>
    <n v="0"/>
    <n v="3487.3613989470182"/>
    <n v="7022.0805536899761"/>
    <n v="10445.641522009346"/>
    <n v="0"/>
    <n v="0"/>
    <n v="0"/>
    <n v="0"/>
    <n v="0"/>
    <n v="328.7775846121325"/>
    <m/>
    <n v="31.239225663522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0.59229721503584"/>
    <n v="0"/>
    <n v="0"/>
    <n v="0"/>
    <n v="4937.1099999999997"/>
    <n v="258"/>
    <m/>
    <m/>
    <m/>
    <m/>
    <m/>
    <m/>
    <m/>
    <m/>
    <m/>
    <n v="11316.233819224382"/>
    <m/>
    <m/>
    <m/>
    <m/>
    <m/>
    <m/>
    <m/>
    <m/>
    <m/>
    <m/>
    <m/>
    <m/>
    <n v="21550.523500000003"/>
    <n v="-2761.6572500000002"/>
    <m/>
    <m/>
    <m/>
    <m/>
    <n v="-3213.0843000000013"/>
    <n v="448.38629999999904"/>
    <n v="30"/>
    <n v="865.3354779325673"/>
    <n v="0"/>
    <n v="0"/>
    <n v="0"/>
    <n v="0"/>
    <n v="0"/>
    <n v="0"/>
    <n v="0"/>
    <n v="-26.875520835788848"/>
    <n v="0"/>
    <n v="0"/>
    <n v="448.22648022576504"/>
    <n v="0"/>
    <n v="0"/>
    <n v="0"/>
    <n v="37.357449063337071"/>
    <n v="0"/>
    <n v="355.02236562961207"/>
    <m/>
    <n v="0"/>
    <n v="0"/>
    <n v="0"/>
    <n v="0"/>
    <n v="47.880904156549661"/>
    <n v="3.7237996930910704"/>
    <n v="0"/>
    <n v="0"/>
    <m/>
    <m/>
    <m/>
    <n v="7022.0805536899761"/>
    <n v="0"/>
    <n v="0"/>
    <n v="-3213.0843000000023"/>
    <n v="448.3862999999983"/>
    <n v="0"/>
    <n v="0"/>
    <n v="-3630.3175670493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4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09"/>
    <n v="0.09"/>
    <n v="0.09"/>
    <n v="0.09"/>
    <m/>
    <n v="325.25"/>
    <n v="297.72000000000003"/>
    <m/>
    <n v="56.067300000000003"/>
    <n v="56.067300000000003"/>
    <n v="47.941199999999995"/>
    <n v="0"/>
    <n v="0"/>
    <n v="0"/>
    <n v="0"/>
    <n v="0"/>
    <n v="8.9457752858837569"/>
    <n v="18.013032630243629"/>
    <n v="26.795147127856378"/>
    <n v="0"/>
    <n v="0"/>
    <n v="0"/>
    <n v="0"/>
    <n v="0"/>
    <n v="0"/>
    <m/>
    <n v="8.01348242758154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332423186362611"/>
    <n v="0"/>
    <n v="0"/>
    <n v="0"/>
    <n v="2.19"/>
    <n v="0"/>
    <m/>
    <m/>
    <m/>
    <m/>
    <m/>
    <m/>
    <m/>
    <n v="31.162499999999998"/>
    <m/>
    <n v="29.028389446492639"/>
    <m/>
    <m/>
    <m/>
    <m/>
    <m/>
    <m/>
    <m/>
    <m/>
    <m/>
    <m/>
    <m/>
    <m/>
    <n v="16.778700000000001"/>
    <n v="-2.8749000000000002"/>
    <m/>
    <m/>
    <m/>
    <m/>
    <n v="-9.2762999999999991"/>
    <n v="1.1501999999999974"/>
    <n v="30"/>
    <n v="1.1862305467629"/>
    <n v="0"/>
    <n v="0"/>
    <n v="0"/>
    <n v="0"/>
    <n v="0"/>
    <n v="0"/>
    <n v="0"/>
    <n v="-6.8941053875473557E-2"/>
    <n v="0"/>
    <n v="0"/>
    <n v="1.1497900305064519"/>
    <n v="0"/>
    <n v="0"/>
    <n v="0"/>
    <n v="9.5829283616939875E-2"/>
    <n v="0"/>
    <n v="0"/>
    <m/>
    <n v="0"/>
    <n v="0"/>
    <n v="0"/>
    <n v="0"/>
    <n v="0"/>
    <n v="9.5522865149835073E-3"/>
    <n v="0"/>
    <n v="0"/>
    <m/>
    <m/>
    <m/>
    <n v="18.013032630243629"/>
    <n v="0"/>
    <n v="0"/>
    <n v="-9.2762999999999991"/>
    <n v="1.1501999999999981"/>
    <n v="0"/>
    <n v="0"/>
    <n v="-9.312486277168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0.21"/>
    <n v="0.21"/>
    <n v="0.21"/>
    <n v="0.21"/>
    <m/>
    <n v="325.25"/>
    <n v="297.72000000000003"/>
    <m/>
    <n v="130.8237"/>
    <n v="130.8237"/>
    <n v="111.86279999999999"/>
    <n v="0"/>
    <n v="0"/>
    <n v="0"/>
    <n v="0"/>
    <n v="0"/>
    <n v="20.873475667062099"/>
    <n v="42.030409470568472"/>
    <n v="62.522009964998219"/>
    <n v="0"/>
    <n v="0"/>
    <n v="0"/>
    <n v="0"/>
    <n v="0"/>
    <n v="0"/>
    <m/>
    <n v="0.18698125664356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108987434846092"/>
    <n v="0"/>
    <n v="0"/>
    <n v="0"/>
    <n v="8.8800000000000008"/>
    <n v="0"/>
    <m/>
    <m/>
    <m/>
    <m/>
    <m/>
    <m/>
    <m/>
    <n v="44.744699999999995"/>
    <m/>
    <n v="67.732908708482825"/>
    <m/>
    <m/>
    <m/>
    <m/>
    <m/>
    <m/>
    <m/>
    <m/>
    <m/>
    <m/>
    <m/>
    <m/>
    <n v="67.118099999999998"/>
    <n v="-11.405699999999996"/>
    <m/>
    <m/>
    <m/>
    <m/>
    <n v="-21.644699999999997"/>
    <n v="2.683799999999994"/>
    <n v="30"/>
    <n v="2.7678712757801094"/>
    <n v="0"/>
    <n v="0"/>
    <n v="0"/>
    <n v="0"/>
    <n v="0"/>
    <n v="0"/>
    <n v="0"/>
    <n v="-0.16086245904277163"/>
    <n v="0"/>
    <n v="0"/>
    <n v="2.6828434045150544"/>
    <n v="0"/>
    <n v="0"/>
    <n v="0"/>
    <n v="0.22360166177286001"/>
    <n v="0"/>
    <n v="0"/>
    <m/>
    <n v="0"/>
    <n v="0"/>
    <n v="0"/>
    <n v="0"/>
    <n v="0"/>
    <n v="2.2288668534961503E-2"/>
    <n v="0"/>
    <n v="0"/>
    <m/>
    <m/>
    <m/>
    <n v="42.030409470568472"/>
    <n v="0"/>
    <n v="0"/>
    <n v="-21.644699999999993"/>
    <n v="2.683799999999998"/>
    <n v="0"/>
    <n v="0"/>
    <n v="-21.7291346467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0.215"/>
    <n v="0.215"/>
    <n v="0.215"/>
    <n v="0.215"/>
    <m/>
    <n v="325.25"/>
    <n v="297.72000000000003"/>
    <m/>
    <n v="133.93854999999999"/>
    <n v="133.93854999999999"/>
    <n v="114.52619999999999"/>
    <n v="0"/>
    <n v="0"/>
    <n v="0"/>
    <n v="0"/>
    <n v="0"/>
    <n v="21.370463182944533"/>
    <n v="43.031133505582005"/>
    <n v="64.01062924987913"/>
    <n v="0"/>
    <n v="0"/>
    <n v="0"/>
    <n v="0"/>
    <n v="0"/>
    <n v="0"/>
    <m/>
    <n v="0.19143319132555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3349677611866237"/>
    <n v="0"/>
    <n v="0"/>
    <n v="0"/>
    <n v="22.9"/>
    <n v="3"/>
    <m/>
    <m/>
    <m/>
    <m/>
    <m/>
    <m/>
    <m/>
    <n v="11.453050000000001"/>
    <m/>
    <n v="69.345597011065749"/>
    <m/>
    <m/>
    <m/>
    <m/>
    <m/>
    <m/>
    <m/>
    <m/>
    <m/>
    <m/>
    <m/>
    <m/>
    <n v="105.47020000000001"/>
    <n v="-15.103849999999994"/>
    <m/>
    <m/>
    <m/>
    <m/>
    <n v="-22.160049999999998"/>
    <n v="2.7476999999999943"/>
    <n v="30"/>
    <n v="2.8337729728224872"/>
    <n v="0"/>
    <n v="0"/>
    <n v="0"/>
    <n v="0"/>
    <n v="0"/>
    <n v="0"/>
    <n v="0"/>
    <n v="-0.16469251759141201"/>
    <n v="0"/>
    <n v="0"/>
    <n v="2.7467206284320724"/>
    <n v="0"/>
    <n v="0"/>
    <n v="0"/>
    <n v="0.22892551086268931"/>
    <n v="0"/>
    <n v="0"/>
    <m/>
    <n v="0"/>
    <n v="0"/>
    <n v="0"/>
    <n v="0"/>
    <n v="0"/>
    <n v="2.2819351119127251E-2"/>
    <n v="0"/>
    <n v="0"/>
    <m/>
    <m/>
    <m/>
    <n v="43.031133505582005"/>
    <n v="0"/>
    <n v="0"/>
    <n v="-22.160049999999991"/>
    <n v="2.7476999999999947"/>
    <n v="0"/>
    <n v="0"/>
    <n v="-22.246494995457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7"/>
    <s v="Regular"/>
    <s v="Convencional"/>
    <s v="B3"/>
    <s v="Industrial"/>
    <s v="Não se aplica"/>
    <s v="Não se aplica"/>
    <s v="Não se aplica"/>
    <s v="Não se aplica"/>
    <s v="CATIVO"/>
    <x v="2"/>
    <n v="0"/>
    <n v="0"/>
    <n v="0.42"/>
    <n v="0.42"/>
    <n v="0.42"/>
    <n v="0.42"/>
    <m/>
    <n v="395.23"/>
    <n v="297.72000000000003"/>
    <m/>
    <n v="291.03899999999999"/>
    <n v="291.03899999999999"/>
    <n v="257.94299999999998"/>
    <n v="0"/>
    <n v="25.456879694629237"/>
    <n v="0"/>
    <n v="0"/>
    <n v="0"/>
    <n v="41.746951334124198"/>
    <n v="84.060818941136944"/>
    <n v="125.04401992999644"/>
    <n v="0"/>
    <n v="0"/>
    <n v="0"/>
    <n v="0"/>
    <n v="0"/>
    <n v="3.9357727101922655"/>
    <m/>
    <n v="0.37396251328713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21797486969218"/>
    <n v="0"/>
    <n v="0"/>
    <n v="0"/>
    <n v="103.18"/>
    <n v="2"/>
    <m/>
    <m/>
    <m/>
    <m/>
    <m/>
    <m/>
    <m/>
    <m/>
    <m/>
    <n v="135.46581741696565"/>
    <m/>
    <m/>
    <m/>
    <m/>
    <m/>
    <m/>
    <m/>
    <m/>
    <m/>
    <m/>
    <m/>
    <m/>
    <n v="257.94299999999998"/>
    <n v="-33.125999999999976"/>
    <m/>
    <m/>
    <m/>
    <m/>
    <n v="-38.463600000000014"/>
    <n v="5.3675999999999879"/>
    <n v="30"/>
    <n v="10.358868483160308"/>
    <n v="0"/>
    <n v="0"/>
    <n v="0"/>
    <n v="0"/>
    <n v="0"/>
    <n v="0"/>
    <n v="0"/>
    <n v="-0.32172491808554327"/>
    <n v="0"/>
    <n v="0"/>
    <n v="5.3656868090301089"/>
    <n v="0"/>
    <n v="0"/>
    <n v="0"/>
    <n v="0.44720332354572001"/>
    <n v="0"/>
    <n v="4.249947087485733"/>
    <m/>
    <n v="0"/>
    <n v="0"/>
    <n v="0"/>
    <n v="0"/>
    <n v="0.57317884411431885"/>
    <n v="4.4577337069923006E-2"/>
    <n v="0"/>
    <n v="0"/>
    <m/>
    <m/>
    <m/>
    <n v="84.060818941136944"/>
    <n v="0"/>
    <n v="0"/>
    <n v="-38.463600000000014"/>
    <n v="5.3675999999999959"/>
    <n v="0"/>
    <n v="0"/>
    <n v="-43.45826929345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8"/>
    <s v="Regular"/>
    <s v="Azul"/>
    <s v="A4"/>
    <s v="Industrial"/>
    <s v="Não se aplica"/>
    <s v="Não se aplica"/>
    <s v="Não se aplica"/>
    <s v="Ponta"/>
    <s v="CATIVO"/>
    <x v="2"/>
    <n v="605"/>
    <n v="605"/>
    <n v="25.48"/>
    <n v="25.48"/>
    <n v="25.48"/>
    <n v="25.48"/>
    <n v="78.569999999999993"/>
    <n v="72.290000000000006"/>
    <n v="297.72000000000003"/>
    <n v="47534.85"/>
    <n v="9427.854800000001"/>
    <n v="56962.7048"/>
    <n v="42380.251199999999"/>
    <n v="0"/>
    <n v="1343.6141102825325"/>
    <n v="0"/>
    <n v="0"/>
    <n v="0"/>
    <n v="18441.514939994518"/>
    <n v="29094.97188533032"/>
    <n v="7586.0038757531174"/>
    <n v="0"/>
    <n v="0"/>
    <n v="0"/>
    <n v="0"/>
    <n v="0"/>
    <n v="238.77021108499744"/>
    <m/>
    <n v="15.3632629190330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10993382708961"/>
    <n v="0"/>
    <n v="0"/>
    <n v="0"/>
    <n v="0"/>
    <n v="0"/>
    <m/>
    <m/>
    <m/>
    <m/>
    <m/>
    <m/>
    <m/>
    <m/>
    <m/>
    <n v="7830.1138095802071"/>
    <m/>
    <m/>
    <m/>
    <m/>
    <m/>
    <m/>
    <m/>
    <m/>
    <m/>
    <m/>
    <m/>
    <m/>
    <n v="42380.251199999999"/>
    <n v="-14582.483600000007"/>
    <m/>
    <m/>
    <m/>
    <m/>
    <n v="-14908.087999999998"/>
    <n v="325.63439999999929"/>
    <n v="30"/>
    <n v="454.7891482822306"/>
    <n v="0"/>
    <n v="0"/>
    <n v="0"/>
    <n v="0"/>
    <n v="0"/>
    <n v="0"/>
    <n v="0"/>
    <n v="-142.12043499790889"/>
    <n v="0"/>
    <n v="0"/>
    <n v="325.51833308115965"/>
    <n v="0"/>
    <n v="0"/>
    <n v="0"/>
    <n v="10.474850797522691"/>
    <n v="0"/>
    <n v="224.31220727749474"/>
    <m/>
    <n v="0"/>
    <n v="0"/>
    <n v="0"/>
    <n v="0"/>
    <n v="34.77284987626868"/>
    <n v="1.8313422476913601"/>
    <n v="0"/>
    <n v="0"/>
    <m/>
    <m/>
    <n v="29094.97188533032"/>
    <n v="0"/>
    <n v="0"/>
    <n v="0"/>
    <n v="-14908.088000000003"/>
    <n v="325.634399999999"/>
    <n v="0"/>
    <n v="0"/>
    <n v="-15041.69408774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49"/>
    <s v="Regular"/>
    <s v="Azul"/>
    <s v="A4"/>
    <s v="Industrial"/>
    <s v="Não se aplica"/>
    <s v="Não se aplica"/>
    <s v="Não se aplica"/>
    <s v="Fora ponta"/>
    <s v="CATIVO"/>
    <x v="2"/>
    <n v="611"/>
    <n v="611"/>
    <n v="204.06399999999999"/>
    <n v="204.06399999999999"/>
    <n v="204.06399999999999"/>
    <n v="204.06399999999999"/>
    <n v="25.76"/>
    <n v="72.290000000000006"/>
    <n v="297.72000000000003"/>
    <n v="15739.36"/>
    <n v="75505.720640000014"/>
    <n v="91245.08064"/>
    <n v="91724.860159999997"/>
    <n v="0"/>
    <n v="10760.724874438567"/>
    <n v="0"/>
    <n v="0"/>
    <n v="0"/>
    <n v="7527.7505433991673"/>
    <n v="8210.7781048810957"/>
    <n v="60754.721149987599"/>
    <n v="0"/>
    <n v="0"/>
    <n v="0"/>
    <n v="0"/>
    <n v="0"/>
    <n v="1912.2607674587487"/>
    <m/>
    <n v="123.041165004299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5.0254920129989"/>
    <n v="0"/>
    <n v="0"/>
    <n v="0"/>
    <n v="0"/>
    <n v="0"/>
    <m/>
    <m/>
    <m/>
    <m/>
    <m/>
    <m/>
    <m/>
    <m/>
    <m/>
    <n v="62709.746642000595"/>
    <m/>
    <m/>
    <m/>
    <m/>
    <m/>
    <m/>
    <m/>
    <m/>
    <m/>
    <m/>
    <m/>
    <m/>
    <n v="91723.286399999997"/>
    <n v="478.17575999999826"/>
    <m/>
    <m/>
    <m/>
    <m/>
    <n v="-2128.1584000000034"/>
    <n v="2607.9379199999944"/>
    <n v="30"/>
    <n v="4722.5112460321398"/>
    <n v="0"/>
    <n v="0"/>
    <n v="0"/>
    <n v="0"/>
    <n v="0"/>
    <n v="0"/>
    <n v="0"/>
    <n v="-58.012976985069145"/>
    <n v="0"/>
    <n v="0"/>
    <n v="2607.0083642807658"/>
    <n v="0"/>
    <n v="0"/>
    <n v="0"/>
    <n v="83.890892980599347"/>
    <n v="0"/>
    <n v="1796.4696336685502"/>
    <m/>
    <n v="0"/>
    <n v="0"/>
    <n v="0"/>
    <n v="0"/>
    <n v="278.488494393677"/>
    <n v="14.666837693598509"/>
    <n v="0"/>
    <n v="0"/>
    <m/>
    <m/>
    <n v="8210.7781048810957"/>
    <n v="0"/>
    <n v="0"/>
    <n v="0"/>
    <n v="-2128.1584000000003"/>
    <n v="2607.9379199999894"/>
    <n v="0"/>
    <n v="0"/>
    <n v="-4244.857598170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0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5566.7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51"/>
    <s v="Regular"/>
    <s v="Verde"/>
    <s v="A4"/>
    <s v="Industrial"/>
    <s v="Não se aplica"/>
    <s v="Não se aplica"/>
    <s v="Não se aplica"/>
    <s v="Ponta"/>
    <s v="CATIVO"/>
    <x v="2"/>
    <n v="0"/>
    <n v="0"/>
    <n v="44.64"/>
    <n v="44.64"/>
    <n v="44.64"/>
    <n v="44.64"/>
    <m/>
    <n v="1962.25"/>
    <n v="297.72000000000003"/>
    <m/>
    <n v="100885.06079999999"/>
    <n v="100885.06079999999"/>
    <n v="74986.718399999998"/>
    <n v="0"/>
    <n v="2353.9612983913753"/>
    <n v="0"/>
    <n v="0"/>
    <n v="0"/>
    <n v="32738.147915469373"/>
    <n v="51630.021501336487"/>
    <n v="13290.392975416764"/>
    <n v="0"/>
    <n v="0"/>
    <n v="0"/>
    <n v="0"/>
    <n v="0"/>
    <n v="418.31641376900649"/>
    <m/>
    <n v="26.9158577984943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.67140683050548"/>
    <n v="0"/>
    <n v="0"/>
    <n v="0"/>
    <n v="0"/>
    <n v="0"/>
    <m/>
    <m/>
    <m/>
    <m/>
    <m/>
    <m/>
    <m/>
    <m/>
    <m/>
    <n v="13718.06438224727"/>
    <m/>
    <m/>
    <m/>
    <m/>
    <m/>
    <m/>
    <m/>
    <m/>
    <m/>
    <m/>
    <m/>
    <m/>
    <n v="74986.718399999998"/>
    <n v="-25898.372399999978"/>
    <m/>
    <m/>
    <m/>
    <m/>
    <n v="-26468.841600000003"/>
    <n v="570.49919999999884"/>
    <n v="30"/>
    <n v="793.46496554928308"/>
    <n v="0"/>
    <n v="0"/>
    <n v="0"/>
    <n v="0"/>
    <n v="0"/>
    <n v="0"/>
    <n v="0"/>
    <n v="-252.29813482848112"/>
    <n v="0"/>
    <n v="0"/>
    <n v="570.29585513120037"/>
    <n v="0"/>
    <n v="0"/>
    <n v="0"/>
    <n v="18.351543940400859"/>
    <n v="0"/>
    <n v="392.98653582681982"/>
    <m/>
    <n v="0"/>
    <n v="0"/>
    <n v="0"/>
    <n v="0"/>
    <n v="60.920722860150477"/>
    <n v="3.2084426191892597"/>
    <n v="0"/>
    <n v="0"/>
    <m/>
    <m/>
    <m/>
    <n v="51630.021501336487"/>
    <n v="0"/>
    <n v="0"/>
    <n v="-26468.8416"/>
    <n v="570.49919999999838"/>
    <n v="0"/>
    <n v="0"/>
    <n v="-26691.999986377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2"/>
    <s v="Regular"/>
    <s v="Verde"/>
    <s v="A4"/>
    <s v="Industrial"/>
    <s v="Não se aplica"/>
    <s v="Não se aplica"/>
    <s v="Não se aplica"/>
    <s v="Fora ponta"/>
    <s v="CATIVO"/>
    <x v="2"/>
    <n v="0"/>
    <n v="0"/>
    <n v="651.49599999999998"/>
    <n v="651.49599999999998"/>
    <n v="651.49599999999998"/>
    <n v="651.49599999999998"/>
    <m/>
    <n v="72.290000000000006"/>
    <n v="297.72000000000003"/>
    <m/>
    <n v="241060.03496000002"/>
    <n v="241060.03496000002"/>
    <n v="256324.58624"/>
    <n v="0"/>
    <n v="34354.75739374524"/>
    <n v="0"/>
    <n v="0"/>
    <n v="0"/>
    <n v="0"/>
    <n v="0"/>
    <n v="193965.90192455467"/>
    <n v="0"/>
    <n v="0"/>
    <n v="0"/>
    <n v="0"/>
    <n v="0"/>
    <n v="6105.0956609510004"/>
    <m/>
    <n v="392.82199131469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41.6265874652108"/>
    <n v="0"/>
    <n v="0"/>
    <n v="0"/>
    <n v="0"/>
    <n v="0"/>
    <m/>
    <m/>
    <m/>
    <m/>
    <m/>
    <m/>
    <m/>
    <m/>
    <m/>
    <n v="200207.52851201987"/>
    <m/>
    <m/>
    <m/>
    <m/>
    <m/>
    <m/>
    <m/>
    <m/>
    <m/>
    <m/>
    <m/>
    <m/>
    <n v="256326.16"/>
    <n v="15266.095039999986"/>
    <m/>
    <m/>
    <m/>
    <m/>
    <n v="6938.4323999999942"/>
    <n v="8326.1188799999818"/>
    <n v="30"/>
    <n v="15262.331470513192"/>
    <n v="0"/>
    <n v="0"/>
    <n v="0"/>
    <n v="0"/>
    <n v="0"/>
    <n v="0"/>
    <n v="0"/>
    <n v="0"/>
    <n v="0"/>
    <n v="0"/>
    <n v="8323.1511746092292"/>
    <n v="0"/>
    <n v="0"/>
    <n v="0"/>
    <n v="267.83058850796078"/>
    <n v="0"/>
    <n v="5735.420164539195"/>
    <m/>
    <n v="0"/>
    <n v="0"/>
    <n v="0"/>
    <n v="0"/>
    <n v="889.10410529786168"/>
    <n v="46.825437558945509"/>
    <n v="0"/>
    <n v="0"/>
    <m/>
    <m/>
    <m/>
    <n v="0"/>
    <n v="0"/>
    <n v="0"/>
    <n v="6938.4323999999906"/>
    <n v="8326.118879999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3"/>
    <s v="Regular"/>
    <s v="Verde"/>
    <s v="A4"/>
    <s v="Industrial"/>
    <s v="Não se aplica"/>
    <s v="Não se aplica"/>
    <s v="Não se aplica"/>
    <s v="Não se aplica"/>
    <s v="CATIVO"/>
    <x v="2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4869.10999999999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0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54"/>
    <s v="Regular"/>
    <s v="Convencional"/>
    <s v="B3"/>
    <s v="Comercial"/>
    <s v="Não se aplica"/>
    <s v="Não se aplica"/>
    <s v="Não se aplica"/>
    <s v="Não se aplica"/>
    <s v="CATIVO"/>
    <x v="2"/>
    <n v="0"/>
    <n v="0"/>
    <n v="29.722000000000001"/>
    <n v="29.722000000000001"/>
    <n v="29.722000000000001"/>
    <n v="29.722000000000001"/>
    <m/>
    <n v="395.23"/>
    <n v="297.72000000000003"/>
    <m/>
    <n v="20595.859900000003"/>
    <n v="20595.859900000003"/>
    <n v="18253.766299999999"/>
    <n v="0"/>
    <n v="1801.4985197232625"/>
    <n v="0"/>
    <n v="0"/>
    <n v="0"/>
    <n v="2954.2925894115228"/>
    <n v="5948.7039537344581"/>
    <n v="8848.9484770460822"/>
    <n v="0"/>
    <n v="0"/>
    <n v="0"/>
    <n v="0"/>
    <n v="0"/>
    <n v="278.52151545793936"/>
    <m/>
    <n v="26.46408052361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7.51586882785512"/>
    <n v="0"/>
    <n v="0"/>
    <n v="0"/>
    <n v="7041.8"/>
    <n v="47"/>
    <m/>
    <m/>
    <m/>
    <m/>
    <m/>
    <m/>
    <m/>
    <m/>
    <m/>
    <n v="9586.4643458739374"/>
    <m/>
    <m/>
    <m/>
    <m/>
    <m/>
    <m/>
    <m/>
    <m/>
    <m/>
    <m/>
    <m/>
    <m/>
    <n v="18252.538"/>
    <n v="-2343.3519000000015"/>
    <m/>
    <m/>
    <m/>
    <m/>
    <n v="-2721.9407600000013"/>
    <n v="379.84715999999918"/>
    <n v="30"/>
    <n v="733.06259299163867"/>
    <n v="0"/>
    <n v="0"/>
    <n v="0"/>
    <n v="0"/>
    <n v="0"/>
    <n v="0"/>
    <n v="0"/>
    <n v="-22.767400036520485"/>
    <n v="0"/>
    <n v="0"/>
    <n v="379.71176985236343"/>
    <n v="0"/>
    <n v="0"/>
    <n v="0"/>
    <n v="31.647088529585403"/>
    <n v="0"/>
    <n v="300.75458889107381"/>
    <m/>
    <n v="0"/>
    <n v="0"/>
    <n v="0"/>
    <n v="0"/>
    <n v="40.56195620182325"/>
    <n v="3.1545895533148851"/>
    <n v="0"/>
    <n v="0"/>
    <m/>
    <m/>
    <m/>
    <n v="5948.7039537344581"/>
    <n v="0"/>
    <n v="0"/>
    <n v="-2721.9407600000031"/>
    <n v="379.84715999999935"/>
    <n v="0"/>
    <n v="0"/>
    <n v="-3075.396856999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5"/>
    <s v="Regular"/>
    <s v="Convencional"/>
    <s v="B2"/>
    <s v="Rural"/>
    <s v="Não se aplica"/>
    <s v="Não se aplica"/>
    <s v="Não se aplica"/>
    <s v="Não se aplica"/>
    <s v="CATIVO"/>
    <x v="2"/>
    <n v="0"/>
    <n v="0"/>
    <n v="529.39200000000005"/>
    <n v="529.39200000000005"/>
    <n v="529.39200000000005"/>
    <n v="529.39200000000005"/>
    <m/>
    <n v="395.23"/>
    <n v="297.72000000000003"/>
    <m/>
    <n v="366842.18640000006"/>
    <n v="366842.18640000006"/>
    <n v="325126.09680000006"/>
    <n v="0"/>
    <n v="32087.305845950385"/>
    <n v="0"/>
    <n v="0"/>
    <n v="0"/>
    <n v="52620.243001606388"/>
    <n v="105955.05966877707"/>
    <n v="157612.62809233495"/>
    <n v="0"/>
    <n v="0"/>
    <n v="0"/>
    <n v="0"/>
    <n v="0"/>
    <n v="4960.8728252240571"/>
    <m/>
    <n v="471.3637210335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36.229083860973"/>
    <n v="0"/>
    <n v="1.38"/>
    <n v="6.5"/>
    <n v="95845.49"/>
    <n v="950"/>
    <m/>
    <m/>
    <m/>
    <m/>
    <m/>
    <n v="39016.190399999992"/>
    <m/>
    <m/>
    <m/>
    <n v="170748.85717619592"/>
    <m/>
    <m/>
    <m/>
    <m/>
    <m/>
    <m/>
    <m/>
    <m/>
    <m/>
    <m/>
    <m/>
    <m/>
    <n v="286108.82550000004"/>
    <n v="-36714.446100000059"/>
    <m/>
    <m/>
    <m/>
    <m/>
    <n v="-48481.719360000025"/>
    <n v="6765.6297599999862"/>
    <n v="30"/>
    <n v="13056.909771517065"/>
    <n v="0"/>
    <n v="0"/>
    <n v="0"/>
    <n v="0"/>
    <n v="0"/>
    <n v="0"/>
    <n v="0"/>
    <n v="-405.5204710360631"/>
    <n v="0"/>
    <n v="0"/>
    <n v="6763.2182647763402"/>
    <n v="0"/>
    <n v="0"/>
    <n v="0"/>
    <n v="563.68062347265732"/>
    <n v="0"/>
    <n v="5356.8761631863053"/>
    <m/>
    <n v="0"/>
    <n v="0"/>
    <n v="0"/>
    <n v="0"/>
    <n v="722.46736819849411"/>
    <n v="56.187822919334963"/>
    <n v="0"/>
    <n v="0"/>
    <m/>
    <m/>
    <m/>
    <n v="105955.05966877707"/>
    <n v="0"/>
    <n v="0"/>
    <n v="-48481.719360000017"/>
    <n v="6765.6297599999816"/>
    <n v="0"/>
    <n v="0"/>
    <n v="-54777.28594713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25.25"/>
    <n v="25.25"/>
    <n v="25.25"/>
    <n v="25.25"/>
    <m/>
    <n v="395.23"/>
    <n v="297.72000000000003"/>
    <m/>
    <n v="17496.987500000003"/>
    <n v="17496.987500000003"/>
    <n v="15507.287499999999"/>
    <n v="0"/>
    <n v="1530.4433625937816"/>
    <n v="0"/>
    <n v="0"/>
    <n v="0"/>
    <n v="2509.7869552062766"/>
    <n v="5053.6563768183523"/>
    <n v="7517.5273886485957"/>
    <n v="0"/>
    <n v="0"/>
    <n v="0"/>
    <n v="0"/>
    <n v="0"/>
    <n v="236.61490698179691"/>
    <m/>
    <n v="22.482270144048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6.54853939517329"/>
    <n v="0"/>
    <n v="0"/>
    <n v="0"/>
    <n v="12111.07"/>
    <n v="16"/>
    <m/>
    <m/>
    <m/>
    <m/>
    <m/>
    <n v="1860.9249999999997"/>
    <m/>
    <m/>
    <m/>
    <n v="8144.0759280437687"/>
    <m/>
    <m/>
    <m/>
    <m/>
    <m/>
    <m/>
    <m/>
    <m/>
    <m/>
    <m/>
    <m/>
    <m/>
    <n v="13646.362499999999"/>
    <n v="-1751.1175000000021"/>
    <m/>
    <m/>
    <m/>
    <m/>
    <n v="-2312.3950000000009"/>
    <n v="322.69499999999931"/>
    <n v="30"/>
    <n v="622.76530761856338"/>
    <n v="0"/>
    <n v="0"/>
    <n v="0"/>
    <n v="0"/>
    <n v="0"/>
    <n v="0"/>
    <n v="0"/>
    <n v="-19.341795670619376"/>
    <n v="0"/>
    <n v="0"/>
    <n v="322.57998078097626"/>
    <n v="0"/>
    <n v="0"/>
    <n v="0"/>
    <n v="26.885437903641446"/>
    <n v="0"/>
    <n v="255.50277133098757"/>
    <m/>
    <n v="0"/>
    <n v="0"/>
    <n v="0"/>
    <n v="0"/>
    <n v="34.45896622353942"/>
    <n v="2.6799470500370397"/>
    <n v="0"/>
    <n v="0"/>
    <m/>
    <m/>
    <m/>
    <n v="5053.6563768183523"/>
    <n v="0"/>
    <n v="0"/>
    <n v="-2312.3950000000013"/>
    <n v="322.69499999999971"/>
    <n v="0"/>
    <n v="0"/>
    <n v="-2612.6697610943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7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0.88600000000000001"/>
    <n v="0.88600000000000001"/>
    <n v="0.88600000000000001"/>
    <n v="0.88600000000000001"/>
    <m/>
    <n v="395.23"/>
    <n v="297.72000000000003"/>
    <m/>
    <n v="613.95370000000003"/>
    <n v="613.95370000000003"/>
    <n v="544.13689999999997"/>
    <n v="0"/>
    <n v="53.701893832003577"/>
    <n v="0"/>
    <n v="0"/>
    <n v="0"/>
    <n v="88.066187814366771"/>
    <n v="177.32829900439842"/>
    <n v="263.78333728089723"/>
    <n v="0"/>
    <n v="0"/>
    <n v="0"/>
    <n v="0"/>
    <n v="0"/>
    <n v="8.3026062410246357"/>
    <m/>
    <n v="0.7888828256485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98502993679697"/>
    <n v="0"/>
    <n v="0"/>
    <n v="0"/>
    <n v="217.53"/>
    <n v="17"/>
    <m/>
    <m/>
    <m/>
    <m/>
    <m/>
    <m/>
    <m/>
    <m/>
    <m/>
    <n v="285.76836721769422"/>
    <m/>
    <m/>
    <m/>
    <m/>
    <m/>
    <m/>
    <m/>
    <m/>
    <m/>
    <m/>
    <m/>
    <m/>
    <n v="546.59349999999995"/>
    <n v="-67.39020000000005"/>
    <m/>
    <m/>
    <m/>
    <m/>
    <n v="-81.139880000000034"/>
    <n v="11.323079999999976"/>
    <n v="30"/>
    <n v="21.852279704952309"/>
    <n v="0"/>
    <n v="0"/>
    <n v="0"/>
    <n v="0"/>
    <n v="0"/>
    <n v="0"/>
    <n v="0"/>
    <n v="-0.67868637481855387"/>
    <n v="0"/>
    <n v="0"/>
    <n v="11.319044078096852"/>
    <n v="0"/>
    <n v="0"/>
    <n v="0"/>
    <n v="0.94338605871787706"/>
    <n v="0"/>
    <n v="8.9653645702675249"/>
    <m/>
    <n v="0"/>
    <n v="0"/>
    <n v="0"/>
    <n v="0"/>
    <n v="1.2091344187744912"/>
    <n v="9.4036953914170995E-2"/>
    <n v="0"/>
    <n v="0"/>
    <m/>
    <m/>
    <m/>
    <n v="177.32829900439842"/>
    <n v="0"/>
    <n v="0"/>
    <n v="-81.139880000000062"/>
    <n v="11.323080000000004"/>
    <n v="0"/>
    <n v="0"/>
    <n v="-91.67625379523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8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0.414000000000001"/>
    <n v="20.414000000000001"/>
    <n v="20.414000000000001"/>
    <n v="20.414000000000001"/>
    <m/>
    <n v="217.38"/>
    <n v="163.75"/>
    <m/>
    <n v="7780.3878199999999"/>
    <n v="7780.3878199999999"/>
    <n v="6895.4409200000009"/>
    <n v="0"/>
    <n v="680.5290670175923"/>
    <n v="0"/>
    <n v="0"/>
    <n v="0"/>
    <n v="1116.005346414634"/>
    <n v="2247.1658495842967"/>
    <n v="3342.7541489714768"/>
    <n v="0"/>
    <n v="0"/>
    <n v="0"/>
    <n v="0"/>
    <n v="0"/>
    <n v="105.21351251958492"/>
    <m/>
    <n v="9.9969974057952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.60194201058175"/>
    <n v="0"/>
    <n v="0"/>
    <n v="0"/>
    <n v="3264.74"/>
    <n v="1"/>
    <m/>
    <m/>
    <m/>
    <m/>
    <m/>
    <m/>
    <m/>
    <m/>
    <m/>
    <n v="3621.3560909820585"/>
    <m/>
    <m/>
    <m/>
    <m/>
    <m/>
    <m/>
    <m/>
    <m/>
    <m/>
    <m/>
    <m/>
    <m/>
    <n v="6894.0897999999997"/>
    <n v="-886.32802000000083"/>
    <m/>
    <m/>
    <m/>
    <m/>
    <n v="-1028.2531800000002"/>
    <n v="143.30628000000021"/>
    <n v="30"/>
    <n v="276.91968492471733"/>
    <n v="0"/>
    <n v="0"/>
    <n v="0"/>
    <n v="0"/>
    <n v="0"/>
    <n v="0"/>
    <n v="0"/>
    <n v="-8.6005496733068867"/>
    <n v="0"/>
    <n v="0"/>
    <n v="143.43886139464166"/>
    <n v="0"/>
    <n v="0"/>
    <n v="0"/>
    <n v="11.954916085176876"/>
    <n v="0"/>
    <n v="113.61221646229353"/>
    <m/>
    <n v="0"/>
    <n v="0"/>
    <n v="0"/>
    <n v="0"/>
    <n v="15.322571685863196"/>
    <n v="1.1916689700475676"/>
    <n v="0"/>
    <n v="0"/>
    <m/>
    <m/>
    <m/>
    <n v="2247.1658495842967"/>
    <n v="0"/>
    <n v="0"/>
    <n v="-1028.2531800000002"/>
    <n v="143.30628000000024"/>
    <n v="0"/>
    <n v="0"/>
    <n v="-1161.7533574906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59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0.83799999999999997"/>
    <n v="0.78771999999999998"/>
    <n v="0.83799999999999997"/>
    <n v="0.78771999999999998"/>
    <m/>
    <n v="395.23"/>
    <n v="297.72000000000003"/>
    <m/>
    <n v="580.69209999999998"/>
    <n v="580.69209999999998"/>
    <n v="514.65769999999998"/>
    <n v="0"/>
    <n v="50.79253615261738"/>
    <n v="0"/>
    <n v="0"/>
    <n v="0"/>
    <n v="83.295107661895429"/>
    <n v="167.72134826826846"/>
    <n v="249.49259214604049"/>
    <n v="0"/>
    <n v="0"/>
    <n v="0"/>
    <n v="0"/>
    <n v="0"/>
    <n v="7.8528036455740917"/>
    <m/>
    <n v="0.74614425270148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93967366857629"/>
    <n v="0"/>
    <n v="0"/>
    <n v="0"/>
    <n v="205.89"/>
    <n v="2"/>
    <m/>
    <m/>
    <m/>
    <m/>
    <n v="30.879461999999993"/>
    <m/>
    <m/>
    <m/>
    <m/>
    <n v="270.28655951289812"/>
    <m/>
    <m/>
    <m/>
    <m/>
    <m/>
    <m/>
    <m/>
    <m/>
    <m/>
    <m/>
    <m/>
    <m/>
    <n v="485.17849999999999"/>
    <n v="-60.702074000000039"/>
    <m/>
    <m/>
    <m/>
    <m/>
    <n v="-76.744040000000027"/>
    <n v="10.709639999999977"/>
    <n v="30"/>
    <n v="20.668409021162574"/>
    <n v="0"/>
    <n v="0"/>
    <n v="0"/>
    <n v="0"/>
    <n v="0"/>
    <n v="0"/>
    <n v="0"/>
    <n v="-0.64191781275164317"/>
    <n v="0"/>
    <n v="0"/>
    <n v="10.705822728493416"/>
    <n v="0"/>
    <n v="0"/>
    <n v="0"/>
    <n v="0.89227710745550937"/>
    <n v="0"/>
    <n v="8.4796563316977256"/>
    <m/>
    <n v="0"/>
    <n v="0"/>
    <n v="0"/>
    <n v="0"/>
    <n v="1.1436282651614249"/>
    <n v="8.8942401106179791E-2"/>
    <n v="0"/>
    <n v="0"/>
    <m/>
    <m/>
    <m/>
    <n v="167.72134826826846"/>
    <n v="0"/>
    <n v="0"/>
    <n v="-76.744040000000041"/>
    <n v="10.709640000000007"/>
    <n v="0"/>
    <n v="0"/>
    <n v="-86.70959444740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0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0399999999999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61"/>
    <s v="Regular"/>
    <s v="Convencional"/>
    <s v="B2"/>
    <s v="Rural"/>
    <s v="Agropecuária rural"/>
    <s v="IRRIG./AQUIC."/>
    <s v="Não se aplica"/>
    <s v="Não se aplica"/>
    <s v="CATIVO"/>
    <x v="2"/>
    <n v="0"/>
    <n v="0"/>
    <n v="8.5000000000000006E-2"/>
    <n v="8.5000000000000006E-2"/>
    <n v="8.5000000000000006E-2"/>
    <n v="8.5000000000000006E-2"/>
    <m/>
    <n v="395.23"/>
    <n v="297.72000000000003"/>
    <m/>
    <n v="58.900750000000009"/>
    <n v="58.900750000000009"/>
    <n v="52.202750000000002"/>
    <n v="0"/>
    <n v="5.1519875572463931"/>
    <n v="0"/>
    <n v="0"/>
    <n v="0"/>
    <n v="8.4487877700013279"/>
    <n v="17.012308595230099"/>
    <n v="25.30652784297547"/>
    <n v="0"/>
    <n v="0"/>
    <n v="0"/>
    <n v="0"/>
    <n v="0"/>
    <n v="0.79652542944367288"/>
    <m/>
    <n v="7.56828895938257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091733009342466"/>
    <n v="0"/>
    <n v="0"/>
    <n v="0"/>
    <n v="0"/>
    <n v="0"/>
    <m/>
    <m/>
    <m/>
    <m/>
    <m/>
    <n v="7.2972499999999973"/>
    <m/>
    <m/>
    <m/>
    <n v="27.415701143909715"/>
    <m/>
    <m/>
    <m/>
    <m/>
    <m/>
    <m/>
    <m/>
    <m/>
    <m/>
    <m/>
    <m/>
    <m/>
    <n v="47.546999999999997"/>
    <n v="-2.9721500000000063"/>
    <m/>
    <m/>
    <m/>
    <m/>
    <n v="-7.7843000000000044"/>
    <n v="1.0862999999999978"/>
    <n v="30"/>
    <n v="2.0964376692109994"/>
    <n v="0"/>
    <n v="0"/>
    <n v="0"/>
    <n v="0"/>
    <n v="0"/>
    <n v="0"/>
    <n v="0"/>
    <n v="-6.5110995326836729E-2"/>
    <n v="0"/>
    <n v="0"/>
    <n v="1.0859128065894268"/>
    <n v="0"/>
    <n v="0"/>
    <n v="0"/>
    <n v="9.0505434527110129E-2"/>
    <n v="0"/>
    <n v="0.86010833913401807"/>
    <m/>
    <n v="0"/>
    <n v="0"/>
    <n v="0"/>
    <n v="0"/>
    <n v="0.11600048035646915"/>
    <n v="9.0216039308177592E-3"/>
    <n v="0"/>
    <n v="0"/>
    <m/>
    <m/>
    <m/>
    <n v="17.012308595230099"/>
    <n v="0"/>
    <n v="0"/>
    <n v="-7.7843000000000053"/>
    <n v="1.0862999999999978"/>
    <n v="0"/>
    <n v="0"/>
    <n v="-8.7951259284365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2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.4999999999999999E-2"/>
    <n v="6.0000000000000001E-3"/>
    <n v="1.4999999999999999E-2"/>
    <n v="6.0000000000000001E-3"/>
    <m/>
    <n v="395.23"/>
    <n v="297.72000000000003"/>
    <m/>
    <n v="10.39425"/>
    <n v="10.39425"/>
    <n v="9.2122499999999992"/>
    <n v="0"/>
    <n v="0.90917427480818702"/>
    <n v="0"/>
    <n v="0"/>
    <n v="0"/>
    <n v="1.490962547647293"/>
    <n v="3.0021721050406049"/>
    <n v="4.4658578546427297"/>
    <n v="0"/>
    <n v="0"/>
    <n v="0"/>
    <n v="0"/>
    <n v="0"/>
    <n v="0.1405633110782952"/>
    <m/>
    <n v="1.3355804045969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7220705310604352"/>
    <n v="0"/>
    <n v="0"/>
    <n v="0"/>
    <n v="0"/>
    <n v="0"/>
    <m/>
    <m/>
    <m/>
    <m/>
    <m/>
    <m/>
    <n v="6.0424499999999988"/>
    <m/>
    <m/>
    <n v="4.8380649077487732"/>
    <m/>
    <m/>
    <m/>
    <m/>
    <m/>
    <m/>
    <m/>
    <m/>
    <m/>
    <m/>
    <m/>
    <m/>
    <n v="5.2830000000000004"/>
    <n v="1.6890600000000009"/>
    <m/>
    <m/>
    <m/>
    <m/>
    <n v="-1.3737000000000006"/>
    <n v="0.19169999999999959"/>
    <n v="30"/>
    <n v="0.36995958868429568"/>
    <n v="0"/>
    <n v="0"/>
    <n v="0"/>
    <n v="0"/>
    <n v="0"/>
    <n v="0"/>
    <n v="0"/>
    <n v="-1.1490175645912482E-2"/>
    <n v="0"/>
    <n v="0"/>
    <n v="0.19163167175107532"/>
    <n v="0"/>
    <n v="0"/>
    <n v="0"/>
    <n v="1.5971547269489961E-2"/>
    <n v="0"/>
    <n v="0.15178382455306183"/>
    <m/>
    <n v="0"/>
    <n v="0"/>
    <n v="0"/>
    <n v="0"/>
    <n v="2.0470673004082784E-2"/>
    <n v="1.5920477524972495E-3"/>
    <n v="0"/>
    <n v="0"/>
    <m/>
    <m/>
    <m/>
    <n v="3.0021721050406049"/>
    <n v="0"/>
    <n v="0"/>
    <n v="-1.3737000000000004"/>
    <n v="0.19169999999999909"/>
    <n v="0"/>
    <n v="0"/>
    <n v="-1.552081046194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3"/>
    <s v="Regular"/>
    <s v="Convencional"/>
    <s v="B1"/>
    <s v="Residencial"/>
    <s v="Residencial"/>
    <s v="Não se aplica"/>
    <s v="Não se aplica"/>
    <s v="Não se aplica"/>
    <s v="CATIVO"/>
    <x v="3"/>
    <n v="0"/>
    <n v="0"/>
    <n v="33"/>
    <n v="33"/>
    <n v="33"/>
    <n v="33"/>
    <m/>
    <n v="395.23"/>
    <n v="297.72000000000003"/>
    <m/>
    <n v="22867.35"/>
    <n v="22867.35"/>
    <n v="20266.949999999997"/>
    <n v="0"/>
    <n v="2000.1834045780115"/>
    <n v="0"/>
    <n v="0"/>
    <n v="0"/>
    <n v="3280.1176048240445"/>
    <n v="6604.7786310893316"/>
    <n v="9824.8872802140049"/>
    <n v="0"/>
    <n v="0"/>
    <n v="0"/>
    <n v="0"/>
    <n v="0"/>
    <n v="309.23928437224941"/>
    <m/>
    <n v="29.382768901132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8.85551683329572"/>
    <n v="0"/>
    <n v="0"/>
    <n v="0"/>
    <n v="4463.08"/>
    <n v="262"/>
    <m/>
    <m/>
    <m/>
    <m/>
    <m/>
    <m/>
    <m/>
    <m/>
    <m/>
    <n v="10643.7427970473"/>
    <m/>
    <m/>
    <m/>
    <m/>
    <m/>
    <m/>
    <m/>
    <m/>
    <m/>
    <m/>
    <m/>
    <m/>
    <n v="20266.949999999997"/>
    <n v="-2600.4300000000039"/>
    <m/>
    <m/>
    <m/>
    <m/>
    <n v="-3022.1400000000012"/>
    <n v="421.7399999999991"/>
    <m/>
    <n v="813.91109510544811"/>
    <n v="0"/>
    <n v="0"/>
    <n v="0"/>
    <n v="0"/>
    <n v="0"/>
    <n v="0"/>
    <n v="0"/>
    <n v="-25.278386421007326"/>
    <n v="0"/>
    <n v="0"/>
    <n v="421.58967785236564"/>
    <n v="0"/>
    <n v="0"/>
    <n v="0"/>
    <n v="35.137403992878035"/>
    <n v="0"/>
    <n v="333.92441401673614"/>
    <m/>
    <n v="0"/>
    <n v="0"/>
    <n v="0"/>
    <n v="0"/>
    <n v="45.035480608982198"/>
    <n v="3.5025050554939519"/>
    <n v="0"/>
    <n v="0"/>
    <m/>
    <m/>
    <m/>
    <n v="6604.7786310893316"/>
    <n v="0"/>
    <n v="0"/>
    <n v="-3022.1400000000012"/>
    <n v="421.73999999999978"/>
    <n v="0"/>
    <n v="0"/>
    <n v="-3414.5783016283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09"/>
    <n v="0.09"/>
    <n v="0.09"/>
    <n v="0.09"/>
    <m/>
    <n v="325.25"/>
    <n v="297.72000000000003"/>
    <m/>
    <n v="56.067300000000003"/>
    <n v="56.067300000000003"/>
    <n v="47.941199999999995"/>
    <n v="0"/>
    <n v="0"/>
    <n v="0"/>
    <n v="0"/>
    <n v="0"/>
    <n v="8.9457752858837569"/>
    <n v="18.013032630243629"/>
    <n v="26.795147127856378"/>
    <n v="0"/>
    <n v="0"/>
    <n v="0"/>
    <n v="0"/>
    <n v="0"/>
    <n v="0"/>
    <m/>
    <n v="8.01348242758154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332423186362611"/>
    <n v="0"/>
    <n v="0"/>
    <n v="0"/>
    <n v="2.19"/>
    <n v="0"/>
    <m/>
    <m/>
    <m/>
    <m/>
    <m/>
    <m/>
    <m/>
    <n v="31.162499999999998"/>
    <m/>
    <n v="29.028389446492639"/>
    <m/>
    <m/>
    <m/>
    <m/>
    <m/>
    <m/>
    <m/>
    <m/>
    <m/>
    <m/>
    <m/>
    <m/>
    <n v="16.778700000000001"/>
    <n v="-2.8749000000000002"/>
    <m/>
    <m/>
    <m/>
    <m/>
    <n v="-9.2762999999999991"/>
    <n v="1.1501999999999974"/>
    <m/>
    <n v="1.1862305467629"/>
    <n v="0"/>
    <n v="0"/>
    <n v="0"/>
    <n v="0"/>
    <n v="0"/>
    <n v="0"/>
    <n v="0"/>
    <n v="-6.8941053875473557E-2"/>
    <n v="0"/>
    <n v="0"/>
    <n v="1.1497900305064519"/>
    <n v="0"/>
    <n v="0"/>
    <n v="0"/>
    <n v="9.5829283616939875E-2"/>
    <n v="0"/>
    <n v="0"/>
    <m/>
    <n v="0"/>
    <n v="0"/>
    <n v="0"/>
    <n v="0"/>
    <n v="0"/>
    <n v="9.5522865149835073E-3"/>
    <n v="0"/>
    <n v="0"/>
    <m/>
    <m/>
    <m/>
    <n v="18.013032630243629"/>
    <n v="0"/>
    <n v="0"/>
    <n v="-9.2762999999999991"/>
    <n v="1.1501999999999981"/>
    <n v="0"/>
    <n v="0"/>
    <n v="-9.312486277168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.21"/>
    <n v="0.21"/>
    <n v="0.21"/>
    <n v="0.21"/>
    <m/>
    <n v="325.25"/>
    <n v="297.72000000000003"/>
    <m/>
    <n v="130.8237"/>
    <n v="130.8237"/>
    <n v="111.86279999999999"/>
    <n v="0"/>
    <n v="0"/>
    <n v="0"/>
    <n v="0"/>
    <n v="0"/>
    <n v="20.873475667062099"/>
    <n v="42.030409470568472"/>
    <n v="62.522009964998219"/>
    <n v="0"/>
    <n v="0"/>
    <n v="0"/>
    <n v="0"/>
    <n v="0"/>
    <n v="0"/>
    <m/>
    <n v="0.18698125664356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108987434846092"/>
    <n v="0"/>
    <n v="0"/>
    <n v="0"/>
    <n v="8.8800000000000008"/>
    <n v="0"/>
    <m/>
    <m/>
    <m/>
    <m/>
    <m/>
    <m/>
    <m/>
    <n v="44.744699999999995"/>
    <m/>
    <n v="67.732908708482825"/>
    <m/>
    <m/>
    <m/>
    <m/>
    <m/>
    <m/>
    <m/>
    <m/>
    <m/>
    <m/>
    <m/>
    <m/>
    <n v="67.118099999999998"/>
    <n v="-11.405699999999996"/>
    <m/>
    <m/>
    <m/>
    <m/>
    <n v="-21.644699999999997"/>
    <n v="2.683799999999994"/>
    <m/>
    <n v="2.7678712757801094"/>
    <n v="0"/>
    <n v="0"/>
    <n v="0"/>
    <n v="0"/>
    <n v="0"/>
    <n v="0"/>
    <n v="0"/>
    <n v="-0.16086245904277163"/>
    <n v="0"/>
    <n v="0"/>
    <n v="2.6828434045150544"/>
    <n v="0"/>
    <n v="0"/>
    <n v="0"/>
    <n v="0.22360166177286001"/>
    <n v="0"/>
    <n v="0"/>
    <m/>
    <n v="0"/>
    <n v="0"/>
    <n v="0"/>
    <n v="0"/>
    <n v="0"/>
    <n v="2.2288668534961503E-2"/>
    <n v="0"/>
    <n v="0"/>
    <m/>
    <m/>
    <m/>
    <n v="42.030409470568472"/>
    <n v="0"/>
    <n v="0"/>
    <n v="-21.644699999999993"/>
    <n v="2.683799999999998"/>
    <n v="0"/>
    <n v="0"/>
    <n v="-21.7291346467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6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0.215"/>
    <n v="0.215"/>
    <n v="0.215"/>
    <n v="0.215"/>
    <m/>
    <n v="325.25"/>
    <n v="297.72000000000003"/>
    <m/>
    <n v="133.93854999999999"/>
    <n v="133.93854999999999"/>
    <n v="114.52619999999999"/>
    <n v="0"/>
    <n v="0"/>
    <n v="0"/>
    <n v="0"/>
    <n v="0"/>
    <n v="21.370463182944533"/>
    <n v="43.031133505582005"/>
    <n v="64.01062924987913"/>
    <n v="0"/>
    <n v="0"/>
    <n v="0"/>
    <n v="0"/>
    <n v="0"/>
    <n v="0"/>
    <m/>
    <n v="0.191433191325559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3349677611866237"/>
    <n v="0"/>
    <n v="0"/>
    <n v="0"/>
    <n v="20.66"/>
    <n v="2"/>
    <m/>
    <m/>
    <m/>
    <m/>
    <m/>
    <m/>
    <m/>
    <n v="11.453050000000001"/>
    <m/>
    <n v="69.345597011065749"/>
    <m/>
    <m/>
    <m/>
    <m/>
    <m/>
    <m/>
    <m/>
    <m/>
    <m/>
    <m/>
    <m/>
    <m/>
    <n v="105.47020000000001"/>
    <n v="-15.103849999999994"/>
    <m/>
    <m/>
    <m/>
    <m/>
    <n v="-22.160049999999998"/>
    <n v="2.7476999999999943"/>
    <m/>
    <n v="2.8337729728224872"/>
    <n v="0"/>
    <n v="0"/>
    <n v="0"/>
    <n v="0"/>
    <n v="0"/>
    <n v="0"/>
    <n v="0"/>
    <n v="-0.16469251759141201"/>
    <n v="0"/>
    <n v="0"/>
    <n v="2.7467206284320724"/>
    <n v="0"/>
    <n v="0"/>
    <n v="0"/>
    <n v="0.22892551086268931"/>
    <n v="0"/>
    <n v="0"/>
    <m/>
    <n v="0"/>
    <n v="0"/>
    <n v="0"/>
    <n v="0"/>
    <n v="0"/>
    <n v="2.2819351119127251E-2"/>
    <n v="0"/>
    <n v="0"/>
    <m/>
    <m/>
    <m/>
    <n v="43.031133505582005"/>
    <n v="0"/>
    <n v="0"/>
    <n v="-22.160049999999991"/>
    <n v="2.7476999999999947"/>
    <n v="0"/>
    <n v="0"/>
    <n v="-22.246494995457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7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2999999999999999E-2"/>
    <n v="1.2999999999999999E-2"/>
    <n v="1.2999999999999999E-2"/>
    <n v="1.2999999999999999E-2"/>
    <m/>
    <n v="325.25"/>
    <n v="297.72000000000003"/>
    <m/>
    <n v="8.0986100000000008"/>
    <n v="8.0986100000000008"/>
    <n v="6.9248399999999997"/>
    <n v="0"/>
    <n v="0"/>
    <n v="0"/>
    <n v="0"/>
    <n v="0"/>
    <n v="1.2921675412943205"/>
    <n v="2.601882491035191"/>
    <n v="3.8704101406903657"/>
    <n v="0"/>
    <n v="0"/>
    <n v="0"/>
    <n v="0"/>
    <n v="0"/>
    <n v="0"/>
    <m/>
    <n v="1.157503017317334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2257944602523769"/>
    <n v="0"/>
    <n v="0"/>
    <n v="0"/>
    <n v="2.2400000000000002"/>
    <n v="1"/>
    <m/>
    <m/>
    <m/>
    <m/>
    <m/>
    <m/>
    <m/>
    <m/>
    <m/>
    <n v="4.1929895867156031"/>
    <m/>
    <m/>
    <m/>
    <m/>
    <m/>
    <m/>
    <m/>
    <m/>
    <m/>
    <m/>
    <m/>
    <m/>
    <n v="5.3268000000000004"/>
    <n v="-2.8018099999999997"/>
    <m/>
    <m/>
    <m/>
    <m/>
    <n v="-1.3399099999999999"/>
    <n v="0.16613999999999965"/>
    <m/>
    <n v="0.17134441231019704"/>
    <n v="0"/>
    <n v="0"/>
    <n v="0"/>
    <n v="0"/>
    <n v="0"/>
    <n v="0"/>
    <n v="0"/>
    <n v="-9.9581522264573508E-3"/>
    <n v="0"/>
    <n v="0"/>
    <n v="0.16608078218426492"/>
    <n v="0"/>
    <n v="0"/>
    <n v="0"/>
    <n v="1.3842007633557973E-2"/>
    <n v="0"/>
    <n v="0"/>
    <m/>
    <n v="0"/>
    <n v="0"/>
    <n v="0"/>
    <n v="0"/>
    <n v="0"/>
    <n v="1.3797747188309516E-3"/>
    <n v="0"/>
    <n v="0"/>
    <m/>
    <m/>
    <m/>
    <n v="2.601882491035191"/>
    <n v="0"/>
    <n v="0"/>
    <n v="-1.3399100000000002"/>
    <n v="0.16613999999999995"/>
    <n v="0"/>
    <n v="0"/>
    <n v="-1.3451369067020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8"/>
    <s v="Regular"/>
    <s v="Convencional"/>
    <s v="B3"/>
    <s v="Industrial"/>
    <s v="Não se aplica"/>
    <s v="Não se aplica"/>
    <s v="Não se aplica"/>
    <s v="Não se aplica"/>
    <s v="CATIVO"/>
    <x v="3"/>
    <n v="0"/>
    <n v="0"/>
    <n v="0.40100000000000002"/>
    <n v="0.40100000000000002"/>
    <n v="0.40100000000000002"/>
    <n v="0.40100000000000002"/>
    <m/>
    <n v="395.23"/>
    <n v="297.72000000000003"/>
    <m/>
    <n v="277.87295000000006"/>
    <n v="277.87295000000006"/>
    <n v="246.27415000000002"/>
    <n v="0"/>
    <n v="24.305258946538867"/>
    <n v="0"/>
    <n v="0"/>
    <n v="0"/>
    <n v="39.858398773770965"/>
    <n v="80.258067608085511"/>
    <n v="119.38726664744898"/>
    <n v="0"/>
    <n v="0"/>
    <n v="0"/>
    <n v="0"/>
    <n v="0"/>
    <n v="3.7577258494930916"/>
    <m/>
    <n v="0.357045161495577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503352197015644"/>
    <n v="0"/>
    <n v="0"/>
    <n v="0"/>
    <n v="98.51"/>
    <n v="2"/>
    <m/>
    <m/>
    <m/>
    <m/>
    <m/>
    <m/>
    <m/>
    <m/>
    <m/>
    <n v="129.33760186715054"/>
    <m/>
    <m/>
    <m/>
    <m/>
    <m/>
    <m/>
    <m/>
    <m/>
    <m/>
    <m/>
    <m/>
    <m/>
    <n v="245.66"/>
    <n v="-32.242950000000036"/>
    <m/>
    <m/>
    <m/>
    <m/>
    <n v="-36.72358000000002"/>
    <n v="5.1247799999999897"/>
    <m/>
    <n v="9.8902530041601153"/>
    <n v="0"/>
    <n v="0"/>
    <n v="0"/>
    <n v="0"/>
    <n v="0"/>
    <n v="0"/>
    <n v="0"/>
    <n v="-0.30717069560072474"/>
    <n v="0"/>
    <n v="0"/>
    <n v="5.1229533581454234"/>
    <n v="0"/>
    <n v="0"/>
    <n v="0"/>
    <n v="0.42697269700436458"/>
    <n v="0"/>
    <n v="4.0576875763851881"/>
    <m/>
    <n v="0"/>
    <n v="0"/>
    <n v="0"/>
    <n v="0"/>
    <n v="0.54724932497581413"/>
    <n v="4.256074325009318E-2"/>
    <n v="0"/>
    <n v="0"/>
    <m/>
    <m/>
    <m/>
    <n v="80.258067608085511"/>
    <n v="0"/>
    <n v="0"/>
    <n v="-36.723580000000013"/>
    <n v="5.124779999999987"/>
    <n v="0"/>
    <n v="0"/>
    <n v="-41.49229996827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69"/>
    <s v="Regular"/>
    <s v="Azul"/>
    <s v="A4"/>
    <s v="Industrial"/>
    <s v="Não se aplica"/>
    <s v="Não se aplica"/>
    <s v="Não se aplica"/>
    <s v="Ponta"/>
    <s v="CATIVO"/>
    <x v="3"/>
    <n v="744"/>
    <n v="744"/>
    <n v="33.853999999999999"/>
    <n v="33.853999999999999"/>
    <n v="33.853999999999999"/>
    <n v="33.853999999999999"/>
    <n v="78.569999999999993"/>
    <n v="72.290000000000006"/>
    <n v="297.72000000000003"/>
    <n v="58456.079999999994"/>
    <n v="12526.31854"/>
    <n v="70982.398539999995"/>
    <n v="53108.637759999998"/>
    <n v="0"/>
    <n v="1785.1927821626707"/>
    <n v="0"/>
    <n v="0"/>
    <n v="0"/>
    <n v="22678.491099761857"/>
    <n v="35779.601789563239"/>
    <n v="10079.143454071665"/>
    <n v="0"/>
    <n v="0"/>
    <n v="0"/>
    <n v="0"/>
    <n v="0"/>
    <n v="317.24202221630702"/>
    <m/>
    <n v="20.412398071465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3366444184573"/>
    <n v="0"/>
    <n v="0"/>
    <n v="0"/>
    <n v="0"/>
    <n v="0"/>
    <m/>
    <m/>
    <m/>
    <m/>
    <m/>
    <m/>
    <m/>
    <m/>
    <m/>
    <n v="10403.480098490123"/>
    <m/>
    <m/>
    <m/>
    <m/>
    <m/>
    <m/>
    <m/>
    <m/>
    <m/>
    <m/>
    <m/>
    <m/>
    <n v="53107.063999999998"/>
    <n v="-17875.364539999995"/>
    <m/>
    <m/>
    <m/>
    <m/>
    <n v="-18306.414899999996"/>
    <n v="432.65411999999907"/>
    <m/>
    <n v="618.31097239602241"/>
    <n v="0"/>
    <n v="0"/>
    <n v="0"/>
    <n v="0"/>
    <n v="0"/>
    <n v="0"/>
    <n v="0"/>
    <n v="-174.77289857594224"/>
    <n v="0"/>
    <n v="0"/>
    <n v="432.4999076973927"/>
    <n v="0"/>
    <n v="0"/>
    <n v="0"/>
    <n v="13.917409689926728"/>
    <n v="0"/>
    <n v="298.03239659231963"/>
    <m/>
    <n v="0"/>
    <n v="0"/>
    <n v="0"/>
    <n v="0"/>
    <n v="46.200944258681318"/>
    <n v="2.4332127336477001"/>
    <n v="0"/>
    <n v="0"/>
    <m/>
    <m/>
    <n v="35779.601789563239"/>
    <n v="0"/>
    <n v="0"/>
    <n v="0"/>
    <n v="-18306.414899999996"/>
    <n v="432.65411999999924"/>
    <n v="0"/>
    <n v="0"/>
    <n v="-18497.554382287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0"/>
    <s v="Regular"/>
    <s v="Azul"/>
    <s v="A4"/>
    <s v="Industrial"/>
    <s v="Não se aplica"/>
    <s v="Não se aplica"/>
    <s v="Não se aplica"/>
    <s v="Fora ponta"/>
    <s v="CATIVO"/>
    <x v="3"/>
    <n v="749"/>
    <n v="749"/>
    <n v="229.10900000000001"/>
    <n v="229.10900000000001"/>
    <n v="229.10900000000001"/>
    <n v="229.10900000000001"/>
    <n v="25.76"/>
    <n v="72.290000000000006"/>
    <n v="297.72000000000003"/>
    <n v="19294.240000000002"/>
    <n v="84772.621090000015"/>
    <n v="104066.86109000002"/>
    <n v="104161.92496"/>
    <n v="0"/>
    <n v="12081.40051776769"/>
    <n v="0"/>
    <n v="0"/>
    <n v="0"/>
    <n v="9227.9626137577361"/>
    <n v="10065.258266049002"/>
    <n v="68211.215147956085"/>
    <n v="0"/>
    <n v="0"/>
    <n v="0"/>
    <n v="0"/>
    <n v="0"/>
    <n v="2146.9546425224758"/>
    <m/>
    <n v="138.14214301871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4.9679289321302"/>
    <n v="0"/>
    <n v="0"/>
    <n v="0"/>
    <n v="0"/>
    <n v="0"/>
    <m/>
    <m/>
    <m/>
    <m/>
    <m/>
    <m/>
    <m/>
    <m/>
    <m/>
    <n v="70406.183076888221"/>
    <m/>
    <m/>
    <m/>
    <m/>
    <m/>
    <m/>
    <m/>
    <m/>
    <m/>
    <m/>
    <m/>
    <m/>
    <n v="104162.31839999999"/>
    <n v="95.427309999984573"/>
    <m/>
    <m/>
    <m/>
    <m/>
    <n v="-2832.9491500000036"/>
    <n v="2928.013019999994"/>
    <m/>
    <n v="5296.1274941598822"/>
    <n v="0"/>
    <n v="0"/>
    <n v="0"/>
    <n v="0"/>
    <n v="0"/>
    <n v="0"/>
    <n v="0"/>
    <n v="-71.115744291026203"/>
    <n v="0"/>
    <n v="0"/>
    <n v="2926.9693788811419"/>
    <n v="0"/>
    <n v="0"/>
    <n v="0"/>
    <n v="94.186914888917727"/>
    <n v="0"/>
    <n v="2016.9523350525724"/>
    <m/>
    <n v="0"/>
    <n v="0"/>
    <n v="0"/>
    <n v="0"/>
    <n v="312.66769475282717"/>
    <n v="16.466914875444274"/>
    <n v="0"/>
    <n v="0"/>
    <m/>
    <m/>
    <n v="10065.258266049002"/>
    <n v="0"/>
    <n v="0"/>
    <n v="0"/>
    <n v="-2832.9491500000076"/>
    <n v="2928.0130199999985"/>
    <n v="0"/>
    <n v="0"/>
    <n v="-5203.59793949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1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870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72"/>
    <s v="Regular"/>
    <s v="Verde"/>
    <s v="A4"/>
    <s v="Industrial"/>
    <s v="Não se aplica"/>
    <s v="Não se aplica"/>
    <s v="Não se aplica"/>
    <s v="Ponta"/>
    <s v="CATIVO"/>
    <x v="3"/>
    <n v="0"/>
    <n v="0"/>
    <n v="47.222999999999999"/>
    <n v="47.222999999999999"/>
    <n v="47.222999999999999"/>
    <n v="47.222999999999999"/>
    <m/>
    <n v="1962.25"/>
    <n v="297.72000000000003"/>
    <m/>
    <n v="106722.56331"/>
    <n v="106722.56331"/>
    <n v="79325.667629999996"/>
    <n v="0"/>
    <n v="2490.1683331974891"/>
    <n v="0"/>
    <n v="0"/>
    <n v="0"/>
    <n v="34632.472200094315"/>
    <n v="54617.484439014625"/>
    <n v="14059.413697986241"/>
    <n v="0"/>
    <n v="0"/>
    <n v="0"/>
    <n v="0"/>
    <n v="0"/>
    <n v="442.52141593668892"/>
    <m/>
    <n v="28.473287473528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.41771605638354"/>
    <n v="0"/>
    <n v="0"/>
    <n v="0"/>
    <n v="0"/>
    <n v="0"/>
    <m/>
    <m/>
    <m/>
    <m/>
    <m/>
    <m/>
    <m/>
    <m/>
    <m/>
    <n v="14511.831414042625"/>
    <m/>
    <m/>
    <m/>
    <m/>
    <m/>
    <m/>
    <m/>
    <m/>
    <m/>
    <m/>
    <m/>
    <m/>
    <n v="79320.628199999992"/>
    <n v="-27401.96510999999"/>
    <m/>
    <m/>
    <m/>
    <m/>
    <n v="-28000.405620000001"/>
    <n v="603.50993999999866"/>
    <m/>
    <n v="839.3771520639275"/>
    <n v="0"/>
    <n v="0"/>
    <n v="0"/>
    <n v="0"/>
    <n v="0"/>
    <n v="0"/>
    <n v="0"/>
    <n v="-266.89683738811436"/>
    <n v="0"/>
    <n v="0"/>
    <n v="603.29482900673611"/>
    <n v="0"/>
    <n v="0"/>
    <n v="0"/>
    <n v="19.413417551468342"/>
    <n v="0"/>
    <n v="415.72587771841199"/>
    <m/>
    <n v="0"/>
    <n v="0"/>
    <n v="0"/>
    <n v="0"/>
    <n v="64.445772751453489"/>
    <n v="3.3940924239689636"/>
    <n v="0"/>
    <n v="0"/>
    <m/>
    <m/>
    <m/>
    <n v="54617.484439014625"/>
    <n v="0"/>
    <n v="0"/>
    <n v="-28000.405620000005"/>
    <n v="603.50993999999992"/>
    <n v="0"/>
    <n v="0"/>
    <n v="-28236.476598493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3"/>
    <s v="Regular"/>
    <s v="Verde"/>
    <s v="A4"/>
    <s v="Industrial"/>
    <s v="Não se aplica"/>
    <s v="Não se aplica"/>
    <s v="Não se aplica"/>
    <s v="Fora ponta"/>
    <s v="CATIVO"/>
    <x v="3"/>
    <n v="0"/>
    <n v="0"/>
    <n v="619.91499999999996"/>
    <n v="619.91499999999996"/>
    <n v="619.91499999999996"/>
    <n v="619.91499999999996"/>
    <m/>
    <n v="72.290000000000006"/>
    <n v="297.72000000000003"/>
    <m/>
    <n v="229374.74914999999"/>
    <n v="229374.74914999999"/>
    <n v="243899.35759999999"/>
    <n v="0"/>
    <n v="32689.424692927631"/>
    <n v="0"/>
    <n v="0"/>
    <n v="0"/>
    <n v="0"/>
    <n v="0"/>
    <n v="184563.48479738986"/>
    <n v="0"/>
    <n v="0"/>
    <n v="0"/>
    <n v="0"/>
    <n v="0"/>
    <n v="5809.1536658067571"/>
    <m/>
    <n v="373.78010723910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39.0663119474193"/>
    <n v="0"/>
    <n v="0"/>
    <n v="0"/>
    <n v="0"/>
    <n v="0"/>
    <m/>
    <m/>
    <m/>
    <m/>
    <m/>
    <m/>
    <m/>
    <m/>
    <m/>
    <n v="190502.55110933728"/>
    <m/>
    <m/>
    <m/>
    <m/>
    <m/>
    <m/>
    <m/>
    <m/>
    <m/>
    <m/>
    <m/>
    <m/>
    <n v="243901.32479999997"/>
    <n v="14526.545649999956"/>
    <m/>
    <m/>
    <m/>
    <m/>
    <n v="6602.0947499999947"/>
    <n v="7922.5136999999822"/>
    <m/>
    <n v="14522.496244862908"/>
    <n v="0"/>
    <n v="0"/>
    <n v="0"/>
    <n v="0"/>
    <n v="0"/>
    <n v="0"/>
    <n v="0"/>
    <n v="0"/>
    <n v="0"/>
    <n v="0"/>
    <n v="7919.6898529045284"/>
    <n v="0"/>
    <n v="0"/>
    <n v="0"/>
    <n v="254.84761115173751"/>
    <n v="0"/>
    <n v="5457.3980366730066"/>
    <m/>
    <n v="0"/>
    <n v="0"/>
    <n v="0"/>
    <n v="0"/>
    <n v="846.00515035506669"/>
    <n v="44.555593778555362"/>
    <n v="0"/>
    <n v="0"/>
    <m/>
    <m/>
    <m/>
    <n v="0"/>
    <n v="0"/>
    <n v="0"/>
    <n v="6602.0947499999966"/>
    <n v="7922.513699999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4"/>
    <s v="Regular"/>
    <s v="Verde"/>
    <s v="A4"/>
    <s v="Industrial"/>
    <s v="Não se aplica"/>
    <s v="Não se aplica"/>
    <s v="Não se aplica"/>
    <s v="Não se aplica"/>
    <s v="CATIVO"/>
    <x v="3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0950.87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m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75"/>
    <s v="Regular"/>
    <s v="Convencional"/>
    <s v="B3"/>
    <s v="Comercial"/>
    <s v="Não se aplica"/>
    <s v="Não se aplica"/>
    <s v="Não se aplica"/>
    <s v="Não se aplica"/>
    <s v="CATIVO"/>
    <x v="3"/>
    <n v="0"/>
    <n v="0"/>
    <n v="30.117000000000001"/>
    <n v="30.117000000000001"/>
    <n v="30.117000000000001"/>
    <n v="30.117000000000001"/>
    <m/>
    <n v="395.23"/>
    <n v="297.72000000000003"/>
    <m/>
    <n v="20869.575150000001"/>
    <n v="20869.575150000001"/>
    <n v="18496.35555"/>
    <n v="0"/>
    <n v="1825.440108959878"/>
    <n v="0"/>
    <n v="0"/>
    <n v="0"/>
    <n v="2993.5546031662348"/>
    <n v="6027.7611525005268"/>
    <n v="8966.5494005516739"/>
    <n v="0"/>
    <n v="0"/>
    <n v="0"/>
    <n v="0"/>
    <n v="0"/>
    <n v="282.22301598300112"/>
    <m/>
    <n v="26.81578336349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7.31732122631422"/>
    <n v="0"/>
    <n v="0"/>
    <n v="0"/>
    <n v="7142.9"/>
    <n v="47"/>
    <m/>
    <m/>
    <m/>
    <m/>
    <m/>
    <m/>
    <m/>
    <m/>
    <m/>
    <n v="9713.8667217779876"/>
    <m/>
    <m/>
    <m/>
    <m/>
    <m/>
    <m/>
    <m/>
    <m/>
    <m/>
    <m/>
    <m/>
    <m/>
    <n v="18498.198"/>
    <n v="-2371.4071499999991"/>
    <m/>
    <m/>
    <m/>
    <m/>
    <n v="-2758.1148600000015"/>
    <n v="384.89525999999921"/>
    <m/>
    <n v="742.80486216032477"/>
    <n v="0"/>
    <n v="0"/>
    <n v="0"/>
    <n v="0"/>
    <n v="0"/>
    <n v="0"/>
    <n v="0"/>
    <n v="-23.069974661862943"/>
    <n v="0"/>
    <n v="0"/>
    <n v="384.75807054180768"/>
    <n v="0"/>
    <n v="0"/>
    <n v="0"/>
    <n v="32.06767260768197"/>
    <n v="0"/>
    <n v="304.7515629376378"/>
    <m/>
    <n v="0"/>
    <n v="0"/>
    <n v="0"/>
    <n v="0"/>
    <n v="41.101017257597448"/>
    <n v="3.1965134774639807"/>
    <n v="0"/>
    <n v="0"/>
    <m/>
    <m/>
    <m/>
    <n v="6027.7611525005268"/>
    <n v="0"/>
    <n v="0"/>
    <n v="-2758.1148600000015"/>
    <n v="384.89525999999933"/>
    <n v="0"/>
    <n v="0"/>
    <n v="-3116.268324549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6"/>
    <s v="Regular"/>
    <s v="Convencional"/>
    <s v="B2"/>
    <s v="Rural"/>
    <s v="Não se aplica"/>
    <s v="Não se aplica"/>
    <s v="Não se aplica"/>
    <s v="Não se aplica"/>
    <s v="CATIVO"/>
    <x v="3"/>
    <n v="0"/>
    <n v="0"/>
    <n v="478.95499999999998"/>
    <n v="478.95499999999998"/>
    <n v="478.95499999999998"/>
    <n v="478.95499999999998"/>
    <m/>
    <n v="395.23"/>
    <n v="297.72000000000003"/>
    <m/>
    <n v="331891.86725000001"/>
    <n v="331891.86725000001"/>
    <n v="294150.21324999997"/>
    <n v="0"/>
    <n v="29030.237652717013"/>
    <n v="0"/>
    <n v="0"/>
    <n v="0"/>
    <n v="47606.931133893944"/>
    <n v="95860.356037981532"/>
    <n v="142596.32991802724"/>
    <n v="0"/>
    <n v="0"/>
    <n v="0"/>
    <n v="0"/>
    <n v="0"/>
    <n v="4488.2333771669919"/>
    <m/>
    <n v="426.45527512248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84.695274693671"/>
    <n v="0"/>
    <n v="0.47"/>
    <n v="2.23"/>
    <n v="85782.48"/>
    <n v="946"/>
    <m/>
    <m/>
    <m/>
    <m/>
    <m/>
    <n v="35298.983499999988"/>
    <m/>
    <m/>
    <m/>
    <n v="154481.0251927209"/>
    <m/>
    <m/>
    <m/>
    <m/>
    <m/>
    <m/>
    <m/>
    <m/>
    <m/>
    <m/>
    <m/>
    <m/>
    <n v="258853.93199999997"/>
    <n v="-33212.857000000018"/>
    <m/>
    <m/>
    <m/>
    <m/>
    <n v="-43862.698900000018"/>
    <n v="6121.0448999999871"/>
    <m/>
    <n v="11812.93298655242"/>
    <n v="0"/>
    <n v="0"/>
    <n v="0"/>
    <n v="0"/>
    <n v="0"/>
    <n v="0"/>
    <n v="0"/>
    <n v="-366.88513843253168"/>
    <n v="0"/>
    <n v="0"/>
    <n v="6118.8631562357477"/>
    <n v="0"/>
    <n v="0"/>
    <n v="0"/>
    <n v="509.97682816390443"/>
    <n v="0"/>
    <n v="4846.5081125874494"/>
    <m/>
    <n v="0"/>
    <n v="0"/>
    <n v="0"/>
    <n v="0"/>
    <n v="653.63541257803172"/>
    <n v="50.834615419821432"/>
    <n v="0"/>
    <n v="0"/>
    <m/>
    <m/>
    <m/>
    <n v="95860.356037981532"/>
    <n v="0"/>
    <n v="0"/>
    <n v="-43862.698900000018"/>
    <n v="6121.044899999979"/>
    <n v="0"/>
    <n v="0"/>
    <n v="-49558.46516534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7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5.506"/>
    <n v="15.506"/>
    <n v="15.506"/>
    <n v="15.506"/>
    <m/>
    <n v="395.23"/>
    <n v="297.72000000000003"/>
    <m/>
    <n v="10744.882700000002"/>
    <n v="10744.882700000002"/>
    <n v="9523.0099000000009"/>
    <n v="0"/>
    <n v="939.84375367838322"/>
    <n v="0"/>
    <n v="0"/>
    <n v="0"/>
    <n v="1541.257684254595"/>
    <n v="3103.445377383975"/>
    <n v="4616.5061262726776"/>
    <n v="0"/>
    <n v="0"/>
    <n v="0"/>
    <n v="0"/>
    <n v="0"/>
    <n v="145.30498010533637"/>
    <m/>
    <n v="13.806339835786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.76283769748738"/>
    <n v="0"/>
    <n v="0"/>
    <n v="0"/>
    <n v="9164.9599999999991"/>
    <n v="19"/>
    <m/>
    <m/>
    <m/>
    <m/>
    <m/>
    <n v="1142.7921999999999"/>
    <m/>
    <m/>
    <m/>
    <n v="5001.2689639701648"/>
    <m/>
    <m/>
    <m/>
    <m/>
    <m/>
    <m/>
    <m/>
    <m/>
    <m/>
    <m/>
    <m/>
    <m/>
    <n v="8382.3794999999991"/>
    <n v="-1073.2093000000023"/>
    <m/>
    <m/>
    <m/>
    <m/>
    <n v="-1420.0394800000006"/>
    <n v="198.16667999999959"/>
    <m/>
    <n v="382.43955880924659"/>
    <n v="0"/>
    <n v="0"/>
    <n v="0"/>
    <n v="0"/>
    <n v="0"/>
    <n v="0"/>
    <n v="0"/>
    <n v="-11.877777571034585"/>
    <n v="0"/>
    <n v="0"/>
    <n v="198.09604681147903"/>
    <n v="0"/>
    <n v="0"/>
    <n v="0"/>
    <n v="16.510320797380814"/>
    <n v="0"/>
    <n v="156.90399890131846"/>
    <m/>
    <n v="0"/>
    <n v="0"/>
    <n v="0"/>
    <n v="0"/>
    <n v="21.161217040087195"/>
    <n v="1.6457528300148248"/>
    <n v="0"/>
    <n v="0"/>
    <m/>
    <m/>
    <m/>
    <n v="3103.445377383975"/>
    <n v="0"/>
    <n v="0"/>
    <n v="-1420.0394800000004"/>
    <n v="198.16667999999936"/>
    <n v="0"/>
    <n v="0"/>
    <n v="-1604.4379134863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8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0.85299999999999998"/>
    <n v="0.85299999999999998"/>
    <n v="0.85299999999999998"/>
    <n v="0.85299999999999998"/>
    <m/>
    <n v="395.23"/>
    <n v="297.72000000000003"/>
    <m/>
    <n v="591.08635000000004"/>
    <n v="591.08635000000004"/>
    <n v="523.86995000000002"/>
    <n v="0"/>
    <n v="51.701710427425567"/>
    <n v="0"/>
    <n v="0"/>
    <n v="0"/>
    <n v="84.786070209542729"/>
    <n v="170.72352037330907"/>
    <n v="253.95845000068323"/>
    <n v="0"/>
    <n v="0"/>
    <n v="0"/>
    <n v="0"/>
    <n v="0"/>
    <n v="7.9933669566523866"/>
    <m/>
    <n v="0.75950005674745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66174419963674"/>
    <n v="0"/>
    <n v="0"/>
    <n v="0"/>
    <n v="209.44"/>
    <n v="17"/>
    <m/>
    <m/>
    <m/>
    <m/>
    <m/>
    <m/>
    <m/>
    <m/>
    <m/>
    <n v="275.12462442064691"/>
    <m/>
    <m/>
    <m/>
    <m/>
    <m/>
    <m/>
    <m/>
    <m/>
    <m/>
    <m/>
    <m/>
    <m/>
    <n v="522.02749999999992"/>
    <n v="-69.088850000000093"/>
    <m/>
    <m/>
    <m/>
    <m/>
    <n v="-78.117740000000026"/>
    <n v="10.901339999999976"/>
    <m/>
    <n v="21.038368609846884"/>
    <n v="0"/>
    <n v="0"/>
    <n v="0"/>
    <n v="0"/>
    <n v="0"/>
    <n v="0"/>
    <n v="0"/>
    <n v="-0.65340798839756076"/>
    <n v="0"/>
    <n v="0"/>
    <n v="10.897454400244499"/>
    <n v="0"/>
    <n v="0"/>
    <n v="0"/>
    <n v="0.90824865472499638"/>
    <n v="0"/>
    <n v="8.6314401562507896"/>
    <m/>
    <n v="0"/>
    <n v="0"/>
    <n v="0"/>
    <n v="0"/>
    <n v="1.1640989381655098"/>
    <n v="9.0534448858676897E-2"/>
    <n v="0"/>
    <n v="0"/>
    <m/>
    <m/>
    <m/>
    <n v="170.72352037330907"/>
    <n v="0"/>
    <n v="0"/>
    <n v="-78.117740000000026"/>
    <n v="10.901339999999976"/>
    <n v="0"/>
    <n v="0"/>
    <n v="-88.261675493604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79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1.094000000000001"/>
    <n v="21.094000000000001"/>
    <n v="21.094000000000001"/>
    <n v="21.094000000000001"/>
    <m/>
    <n v="217.38"/>
    <n v="163.75"/>
    <m/>
    <n v="8039.5562200000004"/>
    <n v="8039.5562200000004"/>
    <n v="7125.1313200000004"/>
    <n v="0"/>
    <n v="703.19781226947646"/>
    <n v="0"/>
    <n v="0"/>
    <n v="0"/>
    <n v="1153.1800126026399"/>
    <n v="2322.0200074033091"/>
    <n v="3454.1028714805689"/>
    <n v="0"/>
    <n v="0"/>
    <n v="0"/>
    <n v="0"/>
    <n v="0"/>
    <n v="108.71822440913708"/>
    <m/>
    <n v="10.3300021200080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88230453469242"/>
    <n v="0"/>
    <n v="0"/>
    <n v="0"/>
    <n v="3373.48"/>
    <n v="1"/>
    <m/>
    <m/>
    <m/>
    <m/>
    <m/>
    <m/>
    <m/>
    <m/>
    <m/>
    <n v="3741.9851760152615"/>
    <m/>
    <m/>
    <m/>
    <m/>
    <m/>
    <m/>
    <m/>
    <m/>
    <m/>
    <m/>
    <m/>
    <m/>
    <n v="7123.7802000000001"/>
    <n v="-915.8060200000009"/>
    <m/>
    <m/>
    <m/>
    <m/>
    <n v="-1062.5047800000002"/>
    <n v="148.07988000000023"/>
    <m/>
    <n v="286.14401066924438"/>
    <n v="0"/>
    <n v="0"/>
    <n v="0"/>
    <n v="0"/>
    <n v="0"/>
    <n v="0"/>
    <n v="0"/>
    <n v="-8.8870380527450834"/>
    <n v="0"/>
    <n v="0"/>
    <n v="148.216877743635"/>
    <n v="0"/>
    <n v="0"/>
    <n v="0"/>
    <n v="12.353139997096207"/>
    <n v="0"/>
    <n v="117.39669315448316"/>
    <m/>
    <n v="0"/>
    <n v="0"/>
    <n v="0"/>
    <n v="0"/>
    <n v="15.832973799431684"/>
    <n v="1.231364027343167"/>
    <n v="0"/>
    <n v="0"/>
    <m/>
    <m/>
    <m/>
    <n v="2322.0200074033091"/>
    <n v="0"/>
    <n v="0"/>
    <n v="-1062.5047800000007"/>
    <n v="148.07988000000023"/>
    <n v="0"/>
    <n v="0"/>
    <n v="-1200.4519115757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0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.78700000000000003"/>
    <n v="0.73977999999999999"/>
    <n v="0.78700000000000003"/>
    <n v="0.73977999999999999"/>
    <m/>
    <n v="395.23"/>
    <n v="297.72000000000003"/>
    <m/>
    <n v="545.35165000000006"/>
    <n v="545.35165000000006"/>
    <n v="483.33605"/>
    <n v="0"/>
    <n v="47.701343618269547"/>
    <n v="0"/>
    <n v="0"/>
    <n v="0"/>
    <n v="78.225834999894644"/>
    <n v="157.51396311113044"/>
    <n v="234.30867544025523"/>
    <n v="0"/>
    <n v="0"/>
    <n v="0"/>
    <n v="0"/>
    <n v="0"/>
    <n v="7.3748883879078884"/>
    <m/>
    <n v="0.70073451894518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528463386297084"/>
    <n v="0"/>
    <n v="0"/>
    <n v="0"/>
    <n v="193.37"/>
    <n v="2"/>
    <m/>
    <m/>
    <m/>
    <m/>
    <n v="29.000163000000022"/>
    <m/>
    <m/>
    <m/>
    <m/>
    <n v="253.83713882655232"/>
    <m/>
    <m/>
    <m/>
    <m/>
    <m/>
    <m/>
    <m/>
    <m/>
    <m/>
    <m/>
    <m/>
    <m/>
    <n v="454.471"/>
    <n v="-58.189550999999938"/>
    <m/>
    <m/>
    <m/>
    <m/>
    <n v="-72.07346000000004"/>
    <n v="10.057859999999978"/>
    <m/>
    <n v="19.410546419636034"/>
    <n v="0"/>
    <n v="0"/>
    <n v="0"/>
    <n v="0"/>
    <n v="0"/>
    <n v="0"/>
    <n v="0"/>
    <n v="-0.6028512155555461"/>
    <n v="0"/>
    <n v="0"/>
    <n v="10.054275044539764"/>
    <n v="0"/>
    <n v="0"/>
    <n v="0"/>
    <n v="0.83797384673924213"/>
    <n v="0"/>
    <n v="7.9635913282173192"/>
    <m/>
    <n v="0"/>
    <n v="0"/>
    <n v="0"/>
    <n v="0"/>
    <n v="1.0740279769475451"/>
    <n v="8.3529438747689033E-2"/>
    <n v="0"/>
    <n v="0"/>
    <m/>
    <m/>
    <m/>
    <n v="157.51396311113044"/>
    <n v="0"/>
    <n v="0"/>
    <n v="-72.07346000000004"/>
    <n v="10.057859999999977"/>
    <n v="0"/>
    <n v="0"/>
    <n v="-81.432518890347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050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82"/>
    <s v="Regular"/>
    <s v="Convencional"/>
    <s v="B2"/>
    <s v="Rural"/>
    <s v="Agropecuária rural"/>
    <s v="IRRIG./AQUIC."/>
    <s v="Não se aplica"/>
    <s v="Não se aplica"/>
    <s v="CATIVO"/>
    <x v="3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0"/>
    <n v="0"/>
    <m/>
    <m/>
    <m/>
    <m/>
    <m/>
    <n v="8.5849999999999973"/>
    <m/>
    <m/>
    <m/>
    <n v="32.253766051658488"/>
    <m/>
    <m/>
    <m/>
    <m/>
    <m/>
    <m/>
    <m/>
    <m/>
    <m/>
    <m/>
    <m/>
    <m/>
    <n v="52.83"/>
    <n v="-6.5990000000000038"/>
    <m/>
    <m/>
    <m/>
    <m/>
    <n v="-9.1580000000000048"/>
    <n v="1.2779999999999974"/>
    <m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4"/>
    <s v="Regular"/>
    <s v="Convencional"/>
    <s v="B1"/>
    <s v="Residencial"/>
    <s v="Residencial"/>
    <s v="Não se aplica"/>
    <s v="Não se aplica"/>
    <s v="Não se aplica"/>
    <s v="CATIVO"/>
    <x v="4"/>
    <n v="0"/>
    <n v="0"/>
    <n v="41.52"/>
    <n v="41.52"/>
    <n v="41.52"/>
    <n v="41.52"/>
    <m/>
    <n v="395.23"/>
    <n v="297.72000000000003"/>
    <m/>
    <n v="28771.284000000007"/>
    <n v="28771.284000000007"/>
    <n v="25499.508000000002"/>
    <n v="0"/>
    <n v="2516.594392669062"/>
    <n v="0"/>
    <n v="0"/>
    <n v="0"/>
    <n v="4126.9843318877074"/>
    <n v="8310.0123867523962"/>
    <n v="12361.494541651076"/>
    <n v="0"/>
    <n v="0"/>
    <n v="0"/>
    <n v="0"/>
    <n v="0"/>
    <n v="389.07924506472114"/>
    <m/>
    <n v="36.968865599242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0.2691229975285"/>
    <n v="0"/>
    <n v="0"/>
    <n v="0"/>
    <n v="6299.71"/>
    <n v="262"/>
    <m/>
    <m/>
    <m/>
    <m/>
    <m/>
    <m/>
    <m/>
    <m/>
    <m/>
    <n v="13391.763664648604"/>
    <m/>
    <m/>
    <m/>
    <m/>
    <m/>
    <m/>
    <m/>
    <m/>
    <m/>
    <m/>
    <m/>
    <m/>
    <n v="25499.508000000002"/>
    <n v="-3271.8060000000005"/>
    <m/>
    <m/>
    <m/>
    <m/>
    <n v="-3802.401600000002"/>
    <n v="530.62559999999894"/>
    <n v="31"/>
    <n v="1024.0481414781316"/>
    <n v="0"/>
    <n v="0"/>
    <n v="0"/>
    <n v="0"/>
    <n v="0"/>
    <n v="0"/>
    <n v="0"/>
    <n v="-31.804806187885788"/>
    <n v="0"/>
    <n v="0"/>
    <n v="530.43646740697659"/>
    <n v="0"/>
    <n v="0"/>
    <n v="0"/>
    <n v="44.209242841948253"/>
    <n v="0"/>
    <n v="420.13762636287538"/>
    <m/>
    <n v="0"/>
    <n v="0"/>
    <n v="0"/>
    <n v="0"/>
    <n v="56.662822875301231"/>
    <n v="4.4067881789123931"/>
    <n v="0"/>
    <n v="0"/>
    <m/>
    <m/>
    <m/>
    <n v="8310.0123867523962"/>
    <n v="0"/>
    <n v="0"/>
    <n v="-3802.4016000000029"/>
    <n v="530.62559999999939"/>
    <n v="0"/>
    <n v="0"/>
    <n v="-4296.1603358668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5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09"/>
    <n v="0.09"/>
    <n v="0.09"/>
    <n v="0.09"/>
    <m/>
    <n v="325.25"/>
    <n v="297.72000000000003"/>
    <m/>
    <n v="56.067300000000003"/>
    <n v="56.067300000000003"/>
    <n v="47.941199999999995"/>
    <n v="0"/>
    <n v="0"/>
    <n v="0"/>
    <n v="0"/>
    <n v="0"/>
    <n v="8.9457752858837569"/>
    <n v="18.013032630243629"/>
    <n v="26.795147127856378"/>
    <n v="0"/>
    <n v="0"/>
    <n v="0"/>
    <n v="0"/>
    <n v="0"/>
    <n v="0"/>
    <m/>
    <n v="8.013482427581548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332423186362611"/>
    <n v="0"/>
    <n v="0"/>
    <n v="0"/>
    <n v="2.19"/>
    <n v="0"/>
    <m/>
    <m/>
    <m/>
    <m/>
    <m/>
    <m/>
    <m/>
    <n v="31.162499999999998"/>
    <m/>
    <n v="29.028389446492639"/>
    <m/>
    <m/>
    <m/>
    <m/>
    <m/>
    <m/>
    <m/>
    <m/>
    <m/>
    <m/>
    <m/>
    <m/>
    <n v="16.778700000000001"/>
    <n v="-2.8749000000000002"/>
    <m/>
    <m/>
    <m/>
    <m/>
    <n v="-9.2762999999999991"/>
    <n v="1.1501999999999974"/>
    <n v="31"/>
    <n v="1.1862305467629"/>
    <n v="0"/>
    <n v="0"/>
    <n v="0"/>
    <n v="0"/>
    <n v="0"/>
    <n v="0"/>
    <n v="0"/>
    <n v="-6.8941053875473557E-2"/>
    <n v="0"/>
    <n v="0"/>
    <n v="1.1497900305064519"/>
    <n v="0"/>
    <n v="0"/>
    <n v="0"/>
    <n v="9.5829283616939875E-2"/>
    <n v="0"/>
    <n v="0"/>
    <m/>
    <n v="0"/>
    <n v="0"/>
    <n v="0"/>
    <n v="0"/>
    <n v="0"/>
    <n v="9.5522865149835073E-3"/>
    <n v="0"/>
    <n v="0"/>
    <m/>
    <m/>
    <m/>
    <n v="18.013032630243629"/>
    <n v="0"/>
    <n v="0"/>
    <n v="-9.2762999999999991"/>
    <n v="1.1501999999999981"/>
    <n v="0"/>
    <n v="0"/>
    <n v="-9.312486277168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0.21"/>
    <n v="0.21"/>
    <n v="0.21"/>
    <n v="0.21"/>
    <m/>
    <n v="325.25"/>
    <n v="297.72000000000003"/>
    <m/>
    <n v="130.8237"/>
    <n v="130.8237"/>
    <n v="111.86279999999999"/>
    <n v="0"/>
    <n v="0"/>
    <n v="0"/>
    <n v="0"/>
    <n v="0"/>
    <n v="20.873475667062099"/>
    <n v="42.030409470568472"/>
    <n v="62.522009964998219"/>
    <n v="0"/>
    <n v="0"/>
    <n v="0"/>
    <n v="0"/>
    <n v="0"/>
    <n v="0"/>
    <m/>
    <n v="0.18698125664356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108987434846092"/>
    <n v="0"/>
    <n v="0"/>
    <n v="0"/>
    <n v="8.8800000000000008"/>
    <n v="0"/>
    <m/>
    <m/>
    <m/>
    <m/>
    <m/>
    <m/>
    <m/>
    <n v="44.744699999999995"/>
    <m/>
    <n v="67.732908708482825"/>
    <m/>
    <m/>
    <m/>
    <m/>
    <m/>
    <m/>
    <m/>
    <m/>
    <m/>
    <m/>
    <m/>
    <m/>
    <n v="67.118099999999998"/>
    <n v="-11.405699999999996"/>
    <m/>
    <m/>
    <m/>
    <m/>
    <n v="-21.644699999999997"/>
    <n v="2.683799999999994"/>
    <n v="31"/>
    <n v="2.7678712757801094"/>
    <n v="0"/>
    <n v="0"/>
    <n v="0"/>
    <n v="0"/>
    <n v="0"/>
    <n v="0"/>
    <n v="0"/>
    <n v="-0.16086245904277163"/>
    <n v="0"/>
    <n v="0"/>
    <n v="2.6828434045150544"/>
    <n v="0"/>
    <n v="0"/>
    <n v="0"/>
    <n v="0.22360166177286001"/>
    <n v="0"/>
    <n v="0"/>
    <m/>
    <n v="0"/>
    <n v="0"/>
    <n v="0"/>
    <n v="0"/>
    <n v="0"/>
    <n v="2.2288668534961503E-2"/>
    <n v="0"/>
    <n v="0"/>
    <m/>
    <m/>
    <m/>
    <n v="42.030409470568472"/>
    <n v="0"/>
    <n v="0"/>
    <n v="-21.644699999999993"/>
    <n v="2.683799999999998"/>
    <n v="0"/>
    <n v="0"/>
    <n v="-21.7291346467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7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0.29799999999999999"/>
    <n v="0.29799999999999999"/>
    <n v="0.29799999999999999"/>
    <n v="0.29799999999999999"/>
    <m/>
    <n v="325.25"/>
    <n v="297.72000000000003"/>
    <m/>
    <n v="185.64506"/>
    <n v="185.64506"/>
    <n v="158.73863999999998"/>
    <n v="0"/>
    <n v="0"/>
    <n v="0"/>
    <n v="0"/>
    <n v="0"/>
    <n v="29.620455946592884"/>
    <n v="59.643152486806684"/>
    <n v="88.721709378902233"/>
    <n v="0"/>
    <n v="0"/>
    <n v="0"/>
    <n v="0"/>
    <n v="0"/>
    <n v="0"/>
    <m/>
    <n v="0.26533530704658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945134550400642"/>
    <n v="0"/>
    <n v="0"/>
    <n v="0"/>
    <n v="32.42"/>
    <n v="1"/>
    <m/>
    <m/>
    <m/>
    <m/>
    <m/>
    <m/>
    <m/>
    <n v="15.874460000000003"/>
    <m/>
    <n v="96.116222833942302"/>
    <m/>
    <m/>
    <m/>
    <m/>
    <m/>
    <m/>
    <m/>
    <m/>
    <m/>
    <m/>
    <m/>
    <m/>
    <n v="143.82299999999998"/>
    <n v="-23.28666000000004"/>
    <m/>
    <m/>
    <m/>
    <m/>
    <n v="-30.714859999999998"/>
    <n v="3.8084399999999916"/>
    <n v="31"/>
    <n v="3.9277411437260668"/>
    <n v="0"/>
    <n v="0"/>
    <n v="0"/>
    <n v="0"/>
    <n v="0"/>
    <n v="0"/>
    <n v="0"/>
    <n v="-0.22827148949879117"/>
    <n v="0"/>
    <n v="0"/>
    <n v="3.8070825454546906"/>
    <n v="0"/>
    <n v="0"/>
    <n v="0"/>
    <n v="0.31730140575386745"/>
    <n v="0"/>
    <n v="0"/>
    <m/>
    <n v="0"/>
    <n v="0"/>
    <n v="0"/>
    <n v="0"/>
    <n v="0"/>
    <n v="3.162868201627872E-2"/>
    <n v="0"/>
    <n v="0"/>
    <m/>
    <m/>
    <m/>
    <n v="59.643152486806684"/>
    <n v="0"/>
    <n v="0"/>
    <n v="-30.714860000000002"/>
    <n v="3.8084399999999903"/>
    <n v="0"/>
    <n v="0"/>
    <n v="-30.834676784401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8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5.6000000000000001E-2"/>
    <n v="5.6000000000000001E-2"/>
    <n v="5.6000000000000001E-2"/>
    <n v="5.6000000000000001E-2"/>
    <m/>
    <n v="325.25"/>
    <n v="297.72000000000003"/>
    <m/>
    <n v="34.886319999999998"/>
    <n v="34.886319999999998"/>
    <n v="29.830080000000002"/>
    <n v="0"/>
    <n v="0"/>
    <n v="0"/>
    <n v="0"/>
    <n v="0"/>
    <n v="5.566260177883227"/>
    <n v="11.208109192151593"/>
    <n v="16.672535990666191"/>
    <n v="0"/>
    <n v="0"/>
    <n v="0"/>
    <n v="0"/>
    <n v="0"/>
    <n v="0"/>
    <m/>
    <n v="4.98616684382851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895729982625624"/>
    <n v="0"/>
    <n v="0"/>
    <n v="0"/>
    <n v="9.6199999999999992"/>
    <n v="2"/>
    <m/>
    <m/>
    <m/>
    <m/>
    <m/>
    <m/>
    <m/>
    <m/>
    <m/>
    <n v="18.062108988928752"/>
    <m/>
    <m/>
    <m/>
    <m/>
    <m/>
    <m/>
    <m/>
    <m/>
    <m/>
    <m/>
    <m/>
    <m/>
    <n v="31.960799999999999"/>
    <n v="-2.955520000000007"/>
    <m/>
    <m/>
    <m/>
    <m/>
    <n v="-5.7719199999999997"/>
    <n v="0.71567999999999854"/>
    <n v="31"/>
    <n v="0.7380990068746982"/>
    <n v="0"/>
    <n v="0"/>
    <n v="0"/>
    <n v="0"/>
    <n v="0"/>
    <n v="0"/>
    <n v="0"/>
    <n v="-4.289665574473922E-2"/>
    <n v="0"/>
    <n v="0"/>
    <n v="0.71542490787068402"/>
    <n v="0"/>
    <n v="0"/>
    <n v="0"/>
    <n v="5.962710980609609E-2"/>
    <n v="0"/>
    <n v="0"/>
    <m/>
    <n v="0"/>
    <n v="0"/>
    <n v="0"/>
    <n v="0"/>
    <n v="0"/>
    <n v="5.9436449426564023E-3"/>
    <n v="0"/>
    <n v="0"/>
    <m/>
    <m/>
    <m/>
    <n v="11.208109192151593"/>
    <n v="0"/>
    <n v="0"/>
    <n v="-5.7719199999999979"/>
    <n v="0.71567999999999898"/>
    <n v="0"/>
    <n v="0"/>
    <n v="-5.79443590579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89"/>
    <s v="Regular"/>
    <s v="Convencional"/>
    <s v="B3"/>
    <s v="Industrial"/>
    <s v="Não se aplica"/>
    <s v="Não se aplica"/>
    <s v="Não se aplica"/>
    <s v="Não se aplica"/>
    <s v="CATIVO"/>
    <x v="4"/>
    <n v="0"/>
    <n v="0"/>
    <n v="2.3570000000000002"/>
    <n v="2.3570000000000002"/>
    <n v="2.3570000000000002"/>
    <n v="2.3570000000000002"/>
    <m/>
    <n v="395.23"/>
    <n v="297.72000000000003"/>
    <m/>
    <n v="1633.2831500000002"/>
    <n v="1633.2831500000002"/>
    <n v="1447.5515500000001"/>
    <n v="0"/>
    <n v="142.86158438152646"/>
    <n v="0"/>
    <n v="0"/>
    <n v="0"/>
    <n v="234.27991498697799"/>
    <n v="471.74131010538048"/>
    <n v="701.73513089286098"/>
    <n v="0"/>
    <n v="0"/>
    <n v="0"/>
    <n v="0"/>
    <n v="0"/>
    <n v="22.087181614102786"/>
    <m/>
    <n v="2.0986420090899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486134944729642"/>
    <n v="0"/>
    <n v="0"/>
    <n v="0"/>
    <n v="579.15"/>
    <n v="2"/>
    <m/>
    <m/>
    <m/>
    <m/>
    <m/>
    <m/>
    <m/>
    <m/>
    <m/>
    <n v="760.22126583759064"/>
    <m/>
    <m/>
    <m/>
    <m/>
    <m/>
    <m/>
    <m/>
    <m/>
    <m/>
    <m/>
    <m/>
    <m/>
    <n v="1449.3939999999998"/>
    <n v="-183.9191500000004"/>
    <m/>
    <m/>
    <m/>
    <m/>
    <n v="-215.85406000000012"/>
    <n v="30.12245999999994"/>
    <n v="31"/>
    <n v="58.132983368592477"/>
    <n v="0"/>
    <n v="0"/>
    <n v="0"/>
    <n v="0"/>
    <n v="0"/>
    <n v="0"/>
    <n v="0"/>
    <n v="-1.8054895998276947"/>
    <n v="0"/>
    <n v="0"/>
    <n v="30.111723354485662"/>
    <n v="0"/>
    <n v="0"/>
    <n v="0"/>
    <n v="2.5096624609458615"/>
    <n v="0"/>
    <n v="23.850298298104462"/>
    <m/>
    <n v="0"/>
    <n v="0"/>
    <n v="0"/>
    <n v="0"/>
    <n v="3.2166250847082125"/>
    <n v="0.25016377017573488"/>
    <n v="0"/>
    <n v="0"/>
    <m/>
    <m/>
    <m/>
    <n v="471.74131010538048"/>
    <n v="0"/>
    <n v="0"/>
    <n v="-215.85406000000012"/>
    <n v="30.122459999999933"/>
    <n v="0"/>
    <n v="0"/>
    <n v="-243.88366839205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0"/>
    <s v="Regular"/>
    <s v="Azul"/>
    <s v="A4"/>
    <s v="Industrial"/>
    <s v="Não se aplica"/>
    <s v="Não se aplica"/>
    <s v="Não se aplica"/>
    <s v="Ponta"/>
    <s v="CATIVO"/>
    <x v="4"/>
    <n v="715"/>
    <n v="715"/>
    <n v="33.731000000000002"/>
    <n v="33.731000000000002"/>
    <n v="33.731000000000002"/>
    <n v="33.731000000000002"/>
    <n v="78.569999999999993"/>
    <n v="72.290000000000006"/>
    <n v="297.72000000000003"/>
    <n v="56177.549999999996"/>
    <n v="12480.807310000002"/>
    <n v="68658.357309999992"/>
    <n v="51509.324639999999"/>
    <n v="0"/>
    <n v="1778.7067328861892"/>
    <n v="0"/>
    <n v="0"/>
    <n v="0"/>
    <n v="21794.517656357159"/>
    <n v="34384.966773572196"/>
    <n v="10042.523419663596"/>
    <n v="0"/>
    <n v="0"/>
    <n v="0"/>
    <n v="0"/>
    <n v="0"/>
    <n v="316.08940306546504"/>
    <m/>
    <n v="20.338234753606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3.15824874103453"/>
    <n v="0"/>
    <n v="0"/>
    <n v="0"/>
    <n v="0"/>
    <n v="0"/>
    <m/>
    <m/>
    <m/>
    <m/>
    <m/>
    <m/>
    <m/>
    <m/>
    <m/>
    <n v="10365.68166840463"/>
    <m/>
    <m/>
    <m/>
    <m/>
    <m/>
    <m/>
    <m/>
    <m/>
    <m/>
    <m/>
    <m/>
    <m/>
    <n v="51508.931199999999"/>
    <n v="-17149.456109999992"/>
    <m/>
    <m/>
    <m/>
    <m/>
    <n v="-17580.114849999998"/>
    <n v="431.08217999999908"/>
    <n v="31"/>
    <n v="622.24188597523607"/>
    <n v="0"/>
    <n v="0"/>
    <n v="0"/>
    <n v="0"/>
    <n v="0"/>
    <n v="0"/>
    <n v="0"/>
    <n v="-167.96051408843778"/>
    <n v="0"/>
    <n v="0"/>
    <n v="430.92852798903368"/>
    <n v="0"/>
    <n v="0"/>
    <n v="0"/>
    <n v="13.86684427987592"/>
    <n v="0"/>
    <n v="296.94957078795801"/>
    <m/>
    <n v="0"/>
    <n v="0"/>
    <n v="0"/>
    <n v="0"/>
    <n v="46.033084740047798"/>
    <n v="2.4243722667534264"/>
    <n v="0"/>
    <n v="0"/>
    <m/>
    <m/>
    <n v="34384.966773572196"/>
    <n v="0"/>
    <n v="0"/>
    <n v="0"/>
    <n v="-17580.114849999998"/>
    <n v="431.08217999999943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1"/>
    <s v="Regular"/>
    <s v="Azul"/>
    <s v="A4"/>
    <s v="Industrial"/>
    <s v="Não se aplica"/>
    <s v="Não se aplica"/>
    <s v="Não se aplica"/>
    <s v="Fora ponta"/>
    <s v="CATIVO"/>
    <x v="4"/>
    <n v="715"/>
    <n v="715"/>
    <n v="235.41499999999999"/>
    <n v="235.41499999999999"/>
    <n v="235.41499999999999"/>
    <n v="235.41499999999999"/>
    <n v="25.76"/>
    <n v="72.290000000000006"/>
    <n v="297.72000000000003"/>
    <n v="18418.400000000001"/>
    <n v="87105.904150000002"/>
    <n v="105524.30415000001"/>
    <n v="106006.4776"/>
    <n v="0"/>
    <n v="12413.929190430234"/>
    <n v="0"/>
    <n v="0"/>
    <n v="0"/>
    <n v="8809.0697848288128"/>
    <n v="9608.3573567757503"/>
    <n v="70088.661790047874"/>
    <n v="0"/>
    <n v="0"/>
    <n v="0"/>
    <n v="0"/>
    <n v="0"/>
    <n v="2206.047458499791"/>
    <m/>
    <n v="141.94436970503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5.3822634185358"/>
    <n v="0"/>
    <n v="0"/>
    <n v="0"/>
    <n v="0"/>
    <n v="0"/>
    <m/>
    <m/>
    <m/>
    <m/>
    <m/>
    <m/>
    <m/>
    <m/>
    <m/>
    <n v="72344.044053466409"/>
    <m/>
    <m/>
    <m/>
    <m/>
    <m/>
    <m/>
    <m/>
    <m/>
    <m/>
    <m/>
    <m/>
    <m/>
    <n v="106008.44479999998"/>
    <n v="484.1106499999878"/>
    <m/>
    <m/>
    <m/>
    <m/>
    <n v="-2526.4302500000044"/>
    <n v="3008.6036999999933"/>
    <n v="31"/>
    <n v="5447.0838060758106"/>
    <n v="0"/>
    <n v="0"/>
    <n v="0"/>
    <n v="0"/>
    <n v="0"/>
    <n v="0"/>
    <n v="0"/>
    <n v="-67.88752625912457"/>
    <n v="0"/>
    <n v="0"/>
    <n v="3007.5313336852996"/>
    <n v="0"/>
    <n v="0"/>
    <n v="0"/>
    <n v="96.77931713103635"/>
    <n v="0"/>
    <n v="2072.466965315205"/>
    <m/>
    <n v="0"/>
    <n v="0"/>
    <n v="0"/>
    <n v="0"/>
    <n v="321.27356568374353"/>
    <n v="16.920150519633523"/>
    <n v="0"/>
    <n v="0"/>
    <m/>
    <m/>
    <n v="9608.3573567757503"/>
    <n v="0"/>
    <n v="0"/>
    <n v="0"/>
    <n v="-2526.4302500000049"/>
    <n v="3008.6036999999924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2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622.6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93"/>
    <s v="Regular"/>
    <s v="Verde"/>
    <s v="A4"/>
    <s v="Industrial"/>
    <s v="Não se aplica"/>
    <s v="Não se aplica"/>
    <s v="Não se aplica"/>
    <s v="Ponta"/>
    <s v="CATIVO"/>
    <x v="4"/>
    <n v="0"/>
    <n v="0"/>
    <n v="44.844000000000001"/>
    <n v="44.844000000000001"/>
    <n v="44.844000000000001"/>
    <n v="44.844000000000001"/>
    <m/>
    <n v="1962.25"/>
    <n v="297.72000000000003"/>
    <m/>
    <n v="101346.09467999999"/>
    <n v="101346.09467999999"/>
    <n v="75329.399640000003"/>
    <n v="0"/>
    <n v="2364.7186484109061"/>
    <n v="0"/>
    <n v="0"/>
    <n v="0"/>
    <n v="32887.757731212114"/>
    <n v="51865.965147982381"/>
    <n v="13351.128642239906"/>
    <n v="0"/>
    <n v="0"/>
    <n v="0"/>
    <n v="0"/>
    <n v="0"/>
    <n v="420.22807479967133"/>
    <m/>
    <n v="27.038860374455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9.62581917354817"/>
    <n v="0"/>
    <n v="0"/>
    <n v="0"/>
    <n v="0"/>
    <n v="0"/>
    <m/>
    <m/>
    <m/>
    <m/>
    <m/>
    <m/>
    <m/>
    <m/>
    <m/>
    <n v="13780.754461413455"/>
    <m/>
    <m/>
    <m/>
    <m/>
    <m/>
    <m/>
    <m/>
    <m/>
    <m/>
    <m/>
    <m/>
    <m/>
    <n v="75322.680400000012"/>
    <n v="-26023.444279999967"/>
    <m/>
    <m/>
    <m/>
    <m/>
    <n v="-26589.801360000005"/>
    <n v="573.10631999999885"/>
    <n v="31"/>
    <n v="797.09101512302004"/>
    <n v="0"/>
    <n v="0"/>
    <n v="0"/>
    <n v="0"/>
    <n v="0"/>
    <n v="0"/>
    <n v="0"/>
    <n v="-253.45111017581803"/>
    <n v="0"/>
    <n v="0"/>
    <n v="572.90204586701475"/>
    <n v="0"/>
    <n v="0"/>
    <n v="0"/>
    <n v="18.435408522924149"/>
    <n v="0"/>
    <n v="394.78244203893155"/>
    <m/>
    <n v="0"/>
    <n v="0"/>
    <n v="0"/>
    <n v="0"/>
    <n v="61.199124013005985"/>
    <n v="3.2231048569651257"/>
    <n v="0"/>
    <n v="0"/>
    <m/>
    <m/>
    <m/>
    <n v="51865.965147982381"/>
    <n v="0"/>
    <n v="0"/>
    <n v="-26589.801359999998"/>
    <n v="573.10631999999896"/>
    <n v="0"/>
    <n v="0"/>
    <n v="-26813.979556208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4"/>
    <s v="Regular"/>
    <s v="Verde"/>
    <s v="A4"/>
    <s v="Industrial"/>
    <s v="Não se aplica"/>
    <s v="Não se aplica"/>
    <s v="Não se aplica"/>
    <s v="Fora ponta"/>
    <s v="CATIVO"/>
    <x v="4"/>
    <n v="0"/>
    <n v="0"/>
    <n v="635.73900000000003"/>
    <n v="635.73900000000003"/>
    <n v="635.73900000000003"/>
    <n v="635.73900000000003"/>
    <m/>
    <n v="72.290000000000006"/>
    <n v="297.72000000000003"/>
    <m/>
    <n v="235229.78739000001"/>
    <n v="235229.78739000001"/>
    <n v="250125.15216"/>
    <n v="0"/>
    <n v="33523.857568952393"/>
    <n v="0"/>
    <n v="0"/>
    <n v="0"/>
    <n v="0"/>
    <n v="0"/>
    <n v="189274.66711018098"/>
    <n v="0"/>
    <n v="0"/>
    <n v="0"/>
    <n v="0"/>
    <n v="0"/>
    <n v="5957.4385881069547"/>
    <m/>
    <n v="383.321248229323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90.667394870492"/>
    <n v="0"/>
    <n v="0"/>
    <n v="0"/>
    <n v="0"/>
    <n v="0"/>
    <m/>
    <m/>
    <m/>
    <m/>
    <m/>
    <m/>
    <m/>
    <m/>
    <m/>
    <n v="195365.33450505146"/>
    <m/>
    <m/>
    <m/>
    <m/>
    <m/>
    <m/>
    <m/>
    <m/>
    <m/>
    <m/>
    <m/>
    <m/>
    <n v="250125.54559999998"/>
    <n v="14895.728209999943"/>
    <m/>
    <m/>
    <m/>
    <m/>
    <n v="6770.6203499999947"/>
    <n v="8124.7444199999827"/>
    <n v="31"/>
    <n v="14893.198648545163"/>
    <n v="0"/>
    <n v="0"/>
    <n v="0"/>
    <n v="0"/>
    <n v="0"/>
    <n v="0"/>
    <n v="0"/>
    <n v="0"/>
    <n v="0"/>
    <n v="0"/>
    <n v="8121.848491157114"/>
    <n v="0"/>
    <n v="0"/>
    <n v="0"/>
    <n v="261.35287170982247"/>
    <n v="0"/>
    <n v="5596.704016577205"/>
    <m/>
    <n v="0"/>
    <n v="0"/>
    <n v="0"/>
    <n v="0"/>
    <n v="867.60034566283957"/>
    <n v="45.692923438189155"/>
    <n v="0"/>
    <n v="0"/>
    <m/>
    <m/>
    <m/>
    <n v="0"/>
    <n v="0"/>
    <n v="0"/>
    <n v="6770.6203499999974"/>
    <n v="8124.7444199999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5"/>
    <s v="Regular"/>
    <s v="Verde"/>
    <s v="A4"/>
    <s v="Industrial"/>
    <s v="Não se aplica"/>
    <s v="Não se aplica"/>
    <s v="Não se aplica"/>
    <s v="Não se aplica"/>
    <s v="CATIVO"/>
    <x v="4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1993.48000000001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1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96"/>
    <s v="Regular"/>
    <s v="Convencional"/>
    <s v="B3"/>
    <s v="Comercial"/>
    <s v="Não se aplica"/>
    <s v="Não se aplica"/>
    <s v="Não se aplica"/>
    <s v="Não se aplica"/>
    <s v="CATIVO"/>
    <x v="4"/>
    <n v="0"/>
    <n v="0"/>
    <n v="31.613"/>
    <n v="31.613"/>
    <n v="31.613"/>
    <n v="31.613"/>
    <m/>
    <n v="395.23"/>
    <n v="297.72000000000003"/>
    <m/>
    <n v="21906.228350000001"/>
    <n v="21906.228350000001"/>
    <n v="19415.123950000001"/>
    <n v="0"/>
    <n v="1916.1150899674144"/>
    <n v="0"/>
    <n v="0"/>
    <n v="0"/>
    <n v="3142.2532679182582"/>
    <n v="6327.1777837765767"/>
    <n v="9411.9442905880405"/>
    <n v="0"/>
    <n v="0"/>
    <n v="0"/>
    <n v="0"/>
    <n v="0"/>
    <n v="296.24186354120974"/>
    <m/>
    <n v="28.147802220348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4.43877132275691"/>
    <n v="0"/>
    <n v="0"/>
    <n v="0"/>
    <n v="7504.58"/>
    <n v="47"/>
    <m/>
    <m/>
    <m/>
    <m/>
    <m/>
    <m/>
    <m/>
    <m/>
    <m/>
    <n v="10196.383061910798"/>
    <m/>
    <m/>
    <m/>
    <m/>
    <m/>
    <m/>
    <m/>
    <m/>
    <m/>
    <m/>
    <m/>
    <m/>
    <n v="19413.281499999997"/>
    <n v="-2492.9768500000027"/>
    <m/>
    <m/>
    <m/>
    <m/>
    <n v="-2895.1185400000013"/>
    <n v="404.01413999999914"/>
    <n v="31"/>
    <n v="779.70216513844025"/>
    <n v="0"/>
    <n v="0"/>
    <n v="0"/>
    <n v="0"/>
    <n v="0"/>
    <n v="0"/>
    <n v="0"/>
    <n v="-24.215928179615275"/>
    <n v="0"/>
    <n v="0"/>
    <n v="403.87013593778283"/>
    <n v="0"/>
    <n v="0"/>
    <n v="0"/>
    <n v="33.660568255359067"/>
    <n v="0"/>
    <n v="319.88946970639654"/>
    <m/>
    <n v="0"/>
    <n v="0"/>
    <n v="0"/>
    <n v="0"/>
    <n v="43.14262571187129"/>
    <n v="3.3552937066463713"/>
    <n v="0"/>
    <n v="0"/>
    <m/>
    <m/>
    <m/>
    <n v="6327.1777837765767"/>
    <n v="0"/>
    <n v="0"/>
    <n v="-2895.1185400000013"/>
    <n v="404.01413999999932"/>
    <n v="0"/>
    <n v="0"/>
    <n v="-3271.0625408901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7"/>
    <s v="Regular"/>
    <s v="Convencional"/>
    <s v="B2"/>
    <s v="Rural"/>
    <s v="Não se aplica"/>
    <s v="Não se aplica"/>
    <s v="Não se aplica"/>
    <s v="Não se aplica"/>
    <s v="CATIVO"/>
    <x v="4"/>
    <n v="0"/>
    <n v="0"/>
    <n v="520.29399999999998"/>
    <n v="520.29399999999998"/>
    <n v="520.29399999999998"/>
    <n v="520.29399999999998"/>
    <m/>
    <n v="395.23"/>
    <n v="297.72000000000003"/>
    <m/>
    <n v="360537.72730000003"/>
    <n v="360537.72730000003"/>
    <n v="319538.5601"/>
    <n v="0"/>
    <n v="31535.861342470056"/>
    <n v="0"/>
    <n v="0"/>
    <n v="0"/>
    <n v="51715.924517706706"/>
    <n v="104134.14221466644"/>
    <n v="154903.93644156563"/>
    <n v="0"/>
    <n v="0"/>
    <n v="0"/>
    <n v="0"/>
    <n v="0"/>
    <n v="4875.6164916113676"/>
    <m/>
    <n v="463.26298068623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10.473099250386"/>
    <n v="0"/>
    <n v="0.49"/>
    <n v="2.33"/>
    <n v="92771.17"/>
    <n v="945"/>
    <m/>
    <m/>
    <m/>
    <m/>
    <m/>
    <n v="38345.667799999996"/>
    <m/>
    <m/>
    <m/>
    <n v="167814.40954081601"/>
    <m/>
    <m/>
    <m/>
    <m/>
    <m/>
    <m/>
    <m/>
    <m/>
    <m/>
    <m/>
    <m/>
    <m/>
    <n v="281190.73049999995"/>
    <n v="-36084.58070000005"/>
    <m/>
    <m/>
    <m/>
    <m/>
    <n v="-47648.524520000021"/>
    <n v="6649.3573199999855"/>
    <n v="31"/>
    <n v="12832.516948993783"/>
    <n v="0"/>
    <n v="0"/>
    <n v="0"/>
    <n v="0"/>
    <n v="0"/>
    <n v="0"/>
    <n v="0"/>
    <n v="-398.55129650095478"/>
    <n v="0"/>
    <n v="0"/>
    <n v="6646.9872681369307"/>
    <n v="0"/>
    <n v="0"/>
    <n v="0"/>
    <n v="553.99334766880202"/>
    <n v="0"/>
    <n v="5264.8142141340541"/>
    <m/>
    <n v="0"/>
    <n v="0"/>
    <n v="0"/>
    <n v="0"/>
    <n v="710.05122266575108"/>
    <n v="55.222192889186999"/>
    <n v="0"/>
    <n v="0"/>
    <m/>
    <m/>
    <m/>
    <n v="104134.14221466644"/>
    <n v="0"/>
    <n v="0"/>
    <n v="-47648.524520000006"/>
    <n v="6649.357319999981"/>
    <n v="0"/>
    <n v="0"/>
    <n v="-53835.89705658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8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51.01"/>
    <n v="51.01"/>
    <n v="51.01"/>
    <n v="51.01"/>
    <m/>
    <n v="395.23"/>
    <n v="297.72000000000003"/>
    <m/>
    <n v="35347.379500000003"/>
    <n v="35347.379500000003"/>
    <n v="31327.791499999999"/>
    <n v="0"/>
    <n v="3091.7986505310414"/>
    <n v="0"/>
    <n v="0"/>
    <n v="0"/>
    <n v="5070.2666370325605"/>
    <n v="10209.386605208085"/>
    <n v="15186.893944355043"/>
    <n v="0"/>
    <n v="0"/>
    <n v="0"/>
    <n v="0"/>
    <n v="0"/>
    <n v="478.00896654025587"/>
    <m/>
    <n v="45.418637625659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5.752118595952"/>
    <n v="0"/>
    <n v="0"/>
    <n v="0"/>
    <n v="20696.11"/>
    <n v="22"/>
    <m/>
    <m/>
    <m/>
    <m/>
    <m/>
    <n v="3759.436999999999"/>
    <m/>
    <m/>
    <m/>
    <n v="16452.646062950993"/>
    <m/>
    <m/>
    <m/>
    <m/>
    <m/>
    <m/>
    <m/>
    <m/>
    <m/>
    <m/>
    <m/>
    <m/>
    <n v="27568.354500000001"/>
    <n v="-3537.5734999999913"/>
    <m/>
    <m/>
    <m/>
    <m/>
    <n v="-4671.4958000000015"/>
    <n v="651.90779999999859"/>
    <n v="31"/>
    <n v="1258.1092412523903"/>
    <n v="0"/>
    <n v="0"/>
    <n v="0"/>
    <n v="0"/>
    <n v="0"/>
    <n v="0"/>
    <n v="0"/>
    <n v="-39.074257313199269"/>
    <n v="0"/>
    <n v="0"/>
    <n v="651.67543840149119"/>
    <n v="0"/>
    <n v="0"/>
    <n v="0"/>
    <n v="54.313908414445677"/>
    <n v="0"/>
    <n v="516.16619269677904"/>
    <m/>
    <n v="0"/>
    <n v="0"/>
    <n v="0"/>
    <n v="0"/>
    <n v="69.613935329217611"/>
    <n v="5.4140237236589854"/>
    <n v="0"/>
    <n v="0"/>
    <m/>
    <m/>
    <m/>
    <n v="10209.386605208085"/>
    <n v="0"/>
    <n v="0"/>
    <n v="-4671.4958000000024"/>
    <n v="651.90779999999904"/>
    <n v="0"/>
    <n v="0"/>
    <n v="-5278.1102777594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99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0.82899999999999996"/>
    <n v="0.82899999999999996"/>
    <n v="0.82899999999999996"/>
    <n v="0.82899999999999996"/>
    <m/>
    <n v="395.23"/>
    <n v="297.72000000000003"/>
    <m/>
    <n v="574.45555000000002"/>
    <n v="574.45555000000002"/>
    <n v="509.13034999999996"/>
    <n v="0"/>
    <n v="50.247031587732465"/>
    <n v="0"/>
    <n v="0"/>
    <n v="0"/>
    <n v="82.400530133307058"/>
    <n v="165.92004500524411"/>
    <n v="246.81307743325485"/>
    <n v="0"/>
    <n v="0"/>
    <n v="0"/>
    <n v="0"/>
    <n v="0"/>
    <n v="7.7684656589271137"/>
    <m/>
    <n v="0.7381307702739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570643134994004"/>
    <n v="0"/>
    <n v="0"/>
    <n v="0"/>
    <n v="203.63"/>
    <n v="17"/>
    <m/>
    <m/>
    <m/>
    <m/>
    <m/>
    <m/>
    <m/>
    <m/>
    <m/>
    <n v="267.38372056824886"/>
    <m/>
    <m/>
    <m/>
    <m/>
    <m/>
    <m/>
    <m/>
    <m/>
    <m/>
    <m/>
    <m/>
    <m/>
    <n v="509.7444999999999"/>
    <n v="-64.741050000000087"/>
    <m/>
    <m/>
    <m/>
    <m/>
    <n v="-75.91982000000003"/>
    <n v="10.594619999999978"/>
    <n v="31"/>
    <n v="20.446433267952045"/>
    <n v="0"/>
    <n v="0"/>
    <n v="0"/>
    <n v="0"/>
    <n v="0"/>
    <n v="0"/>
    <n v="0"/>
    <n v="-0.6350237073640983"/>
    <n v="0"/>
    <n v="0"/>
    <n v="10.590843725442795"/>
    <n v="0"/>
    <n v="0"/>
    <n v="0"/>
    <n v="0.88269417909381431"/>
    <n v="0"/>
    <n v="8.38858603696589"/>
    <m/>
    <n v="0"/>
    <n v="0"/>
    <n v="0"/>
    <n v="0"/>
    <n v="1.1313458613589775"/>
    <n v="8.7987172454681351E-2"/>
    <n v="0"/>
    <n v="0"/>
    <m/>
    <m/>
    <m/>
    <n v="165.92004500524411"/>
    <n v="0"/>
    <n v="0"/>
    <n v="-75.919820000000016"/>
    <n v="10.594619999999964"/>
    <n v="0"/>
    <n v="0"/>
    <n v="-85.77834581969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0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1.123999999999999"/>
    <n v="21.123999999999999"/>
    <n v="21.123999999999999"/>
    <n v="21.123999999999999"/>
    <m/>
    <n v="217.38"/>
    <n v="163.75"/>
    <m/>
    <n v="8050.9901199999986"/>
    <n v="8050.9901199999986"/>
    <n v="7135.2647199999992"/>
    <n v="0"/>
    <n v="704.1979039717653"/>
    <n v="0"/>
    <n v="0"/>
    <n v="0"/>
    <n v="1154.8200714050517"/>
    <n v="2325.3223967188533"/>
    <n v="3459.0153151206755"/>
    <n v="0"/>
    <n v="0"/>
    <n v="0"/>
    <n v="0"/>
    <n v="0"/>
    <n v="108.87284405132318"/>
    <m/>
    <n v="10.34469350445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.29173229310902"/>
    <n v="0"/>
    <n v="0"/>
    <n v="0"/>
    <n v="3378.28"/>
    <n v="1"/>
    <m/>
    <m/>
    <m/>
    <m/>
    <m/>
    <m/>
    <m/>
    <m/>
    <m/>
    <n v="3747.3070474137844"/>
    <m/>
    <m/>
    <m/>
    <m/>
    <m/>
    <m/>
    <m/>
    <m/>
    <m/>
    <m/>
    <m/>
    <m/>
    <n v="7133.9135999999999"/>
    <n v="-917.10651999999936"/>
    <m/>
    <m/>
    <m/>
    <m/>
    <n v="-1064.0158799999999"/>
    <n v="148.2904800000002"/>
    <n v="31"/>
    <n v="286.55096621679695"/>
    <n v="0"/>
    <n v="0"/>
    <n v="0"/>
    <n v="0"/>
    <n v="0"/>
    <n v="0"/>
    <n v="0"/>
    <n v="-8.8996772459556723"/>
    <n v="0"/>
    <n v="0"/>
    <n v="148.42767258256117"/>
    <n v="0"/>
    <n v="0"/>
    <n v="0"/>
    <n v="12.370708699092631"/>
    <n v="0"/>
    <n v="117.56365536149156"/>
    <m/>
    <n v="0"/>
    <n v="0"/>
    <n v="0"/>
    <n v="0"/>
    <n v="15.855491539736178"/>
    <n v="1.2331152798709155"/>
    <n v="0"/>
    <n v="0"/>
    <m/>
    <m/>
    <m/>
    <n v="2325.3223967188533"/>
    <n v="0"/>
    <n v="0"/>
    <n v="-1064.0158799999995"/>
    <n v="148.29048000000012"/>
    <n v="0"/>
    <n v="0"/>
    <n v="-1202.1592007266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1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0.80200000000000005"/>
    <n v="0.75387999999999999"/>
    <n v="0.80200000000000005"/>
    <n v="0.75387999999999999"/>
    <m/>
    <n v="395.23"/>
    <n v="297.72000000000003"/>
    <m/>
    <n v="555.74590000000012"/>
    <n v="555.74590000000012"/>
    <n v="492.54830000000004"/>
    <n v="0"/>
    <n v="48.610517893077734"/>
    <n v="0"/>
    <n v="0"/>
    <n v="0"/>
    <n v="79.71679754754193"/>
    <n v="160.51613521617102"/>
    <n v="238.77453329489796"/>
    <n v="0"/>
    <n v="0"/>
    <n v="0"/>
    <n v="0"/>
    <n v="0"/>
    <n v="7.5154516989861833"/>
    <m/>
    <n v="0.71409032299115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900670439403129"/>
    <n v="0"/>
    <n v="0"/>
    <n v="0"/>
    <n v="197.05"/>
    <n v="2"/>
    <m/>
    <m/>
    <m/>
    <m/>
    <n v="29.552898000000031"/>
    <m/>
    <m/>
    <m/>
    <m/>
    <n v="258.67520373430108"/>
    <m/>
    <m/>
    <m/>
    <m/>
    <m/>
    <m/>
    <m/>
    <m/>
    <m/>
    <m/>
    <m/>
    <m/>
    <n v="460.61249999999995"/>
    <n v="-61.818646000000058"/>
    <m/>
    <m/>
    <m/>
    <m/>
    <n v="-73.447160000000039"/>
    <n v="10.249559999999979"/>
    <n v="31"/>
    <n v="19.780506008320231"/>
    <n v="0"/>
    <n v="0"/>
    <n v="0"/>
    <n v="0"/>
    <n v="0"/>
    <n v="0"/>
    <n v="0"/>
    <n v="-0.61434139120144948"/>
    <n v="0"/>
    <n v="0"/>
    <n v="10.245906716290847"/>
    <n v="0"/>
    <n v="0"/>
    <n v="0"/>
    <n v="0.85394539400872915"/>
    <n v="0"/>
    <n v="8.1153751527703761"/>
    <m/>
    <n v="0"/>
    <n v="0"/>
    <n v="0"/>
    <n v="0"/>
    <n v="1.0944986499516283"/>
    <n v="8.5121486500186361E-2"/>
    <n v="0"/>
    <n v="0"/>
    <m/>
    <m/>
    <m/>
    <n v="160.51613521617102"/>
    <n v="0"/>
    <n v="0"/>
    <n v="-73.447160000000025"/>
    <n v="10.249559999999974"/>
    <n v="0"/>
    <n v="0"/>
    <n v="-82.984599936542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2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050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03"/>
    <s v="Regular"/>
    <s v="Convencional"/>
    <s v="B2"/>
    <s v="Rural"/>
    <s v="Agropecuária rural"/>
    <s v="IRRIG./AQUIC."/>
    <s v="Não se aplica"/>
    <s v="Não se aplica"/>
    <s v="CATIVO"/>
    <x v="4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0"/>
    <n v="0"/>
    <m/>
    <m/>
    <m/>
    <m/>
    <m/>
    <n v="8.5849999999999973"/>
    <m/>
    <m/>
    <m/>
    <n v="32.253766051658488"/>
    <m/>
    <m/>
    <m/>
    <m/>
    <m/>
    <m/>
    <m/>
    <m/>
    <m/>
    <m/>
    <m/>
    <m/>
    <n v="52.83"/>
    <n v="-6.5990000000000038"/>
    <m/>
    <m/>
    <m/>
    <m/>
    <n v="-9.1580000000000048"/>
    <n v="1.2779999999999974"/>
    <n v="31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"/>
    <s v="Não se aplica"/>
    <s v="Não se aplica"/>
    <s v="Não se aplica"/>
    <s v="CATIVO"/>
    <x v="5"/>
    <n v="0"/>
    <n v="0"/>
    <n v="35.936999999999998"/>
    <n v="35.936999999999998"/>
    <n v="35.936999999999998"/>
    <n v="35.936999999999998"/>
    <m/>
    <n v="395.23"/>
    <n v="297.72000000000003"/>
    <m/>
    <n v="24902.544150000002"/>
    <n v="24902.544150000002"/>
    <n v="22070.708549999996"/>
    <n v="0"/>
    <n v="2178.1997275854542"/>
    <n v="0"/>
    <n v="0"/>
    <n v="0"/>
    <n v="3572.0480716533843"/>
    <n v="7192.6039292562818"/>
    <n v="10699.302248153052"/>
    <n v="0"/>
    <n v="0"/>
    <n v="0"/>
    <n v="0"/>
    <n v="0"/>
    <n v="336.7615806813796"/>
    <m/>
    <n v="31.997835333333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1.73365783145903"/>
    <n v="0"/>
    <n v="0"/>
    <n v="0"/>
    <n v="5068.16"/>
    <n v="262"/>
    <m/>
    <m/>
    <m/>
    <m/>
    <m/>
    <m/>
    <m/>
    <m/>
    <m/>
    <n v="11591.03590598451"/>
    <m/>
    <m/>
    <m/>
    <m/>
    <m/>
    <m/>
    <m/>
    <m/>
    <m/>
    <m/>
    <m/>
    <m/>
    <n v="22072.550999999999"/>
    <n v="-2830.0231499999973"/>
    <m/>
    <m/>
    <m/>
    <m/>
    <n v="-3291.1104600000012"/>
    <n v="459.27485999999897"/>
    <n v="29"/>
    <n v="886.34918256983656"/>
    <n v="0"/>
    <n v="0"/>
    <n v="0"/>
    <n v="0"/>
    <n v="0"/>
    <n v="0"/>
    <n v="0"/>
    <n v="-27.528162812477149"/>
    <n v="0"/>
    <n v="0"/>
    <n v="459.11115918122596"/>
    <n v="0"/>
    <n v="0"/>
    <n v="0"/>
    <n v="38.264632948244071"/>
    <n v="0"/>
    <n v="363.64368686422586"/>
    <m/>
    <n v="0"/>
    <n v="0"/>
    <n v="0"/>
    <n v="0"/>
    <n v="49.043638383181587"/>
    <n v="3.8142280054329127"/>
    <n v="0"/>
    <n v="0"/>
    <m/>
    <m/>
    <m/>
    <n v="7192.6039292562818"/>
    <n v="0"/>
    <n v="0"/>
    <n v="-3291.1104599999999"/>
    <n v="459.27485999999772"/>
    <n v="0"/>
    <n v="0"/>
    <n v="-3718.4757704732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18"/>
    <n v="0.18"/>
    <n v="0.18"/>
    <n v="0.18"/>
    <m/>
    <n v="325.25"/>
    <n v="297.72000000000003"/>
    <m/>
    <n v="112.13460000000001"/>
    <n v="112.13460000000001"/>
    <n v="95.88239999999999"/>
    <n v="0"/>
    <n v="0"/>
    <n v="0"/>
    <n v="0"/>
    <n v="0"/>
    <n v="17.891550571767514"/>
    <n v="36.026065260487258"/>
    <n v="53.590294255712756"/>
    <n v="0"/>
    <n v="0"/>
    <n v="0"/>
    <n v="0"/>
    <n v="0"/>
    <n v="0"/>
    <m/>
    <n v="0.16026964855163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664846372725222"/>
    <n v="0"/>
    <n v="0"/>
    <n v="0"/>
    <n v="4.38"/>
    <n v="0"/>
    <m/>
    <m/>
    <m/>
    <m/>
    <m/>
    <m/>
    <m/>
    <n v="62.324999999999996"/>
    <m/>
    <n v="58.056778892985278"/>
    <m/>
    <m/>
    <m/>
    <m/>
    <m/>
    <m/>
    <m/>
    <m/>
    <m/>
    <m/>
    <m/>
    <m/>
    <n v="33.557400000000001"/>
    <n v="-5.7197999999999993"/>
    <m/>
    <m/>
    <m/>
    <m/>
    <n v="-18.552599999999998"/>
    <n v="2.3003999999999949"/>
    <n v="29"/>
    <n v="2.3724610935257999"/>
    <n v="0"/>
    <n v="0"/>
    <n v="0"/>
    <n v="0"/>
    <n v="0"/>
    <n v="0"/>
    <n v="0"/>
    <n v="-0.13788210775094711"/>
    <n v="0"/>
    <n v="0"/>
    <n v="2.2995800610129038"/>
    <n v="0"/>
    <n v="0"/>
    <n v="0"/>
    <n v="0.19165856723387975"/>
    <n v="0"/>
    <n v="0"/>
    <m/>
    <n v="0"/>
    <n v="0"/>
    <n v="0"/>
    <n v="0"/>
    <n v="0"/>
    <n v="1.9104573029967015E-2"/>
    <n v="0"/>
    <n v="0"/>
    <m/>
    <m/>
    <m/>
    <n v="36.026065260487258"/>
    <n v="0"/>
    <n v="0"/>
    <n v="-18.552599999999998"/>
    <n v="2.3003999999999962"/>
    <n v="0"/>
    <n v="0"/>
    <n v="-18.62497255433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0.42"/>
    <n v="0.42"/>
    <n v="0.42"/>
    <n v="0.42"/>
    <m/>
    <n v="325.25"/>
    <n v="297.72000000000003"/>
    <m/>
    <n v="261.6474"/>
    <n v="261.6474"/>
    <n v="223.72559999999999"/>
    <n v="0"/>
    <n v="0"/>
    <n v="0"/>
    <n v="0"/>
    <n v="0"/>
    <n v="41.746951334124198"/>
    <n v="84.060818941136944"/>
    <n v="125.04401992999644"/>
    <n v="0"/>
    <n v="0"/>
    <n v="0"/>
    <n v="0"/>
    <n v="0"/>
    <n v="0"/>
    <m/>
    <n v="0.37396251328713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21797486969218"/>
    <n v="0"/>
    <n v="0"/>
    <n v="0"/>
    <n v="17.760000000000002"/>
    <n v="0"/>
    <m/>
    <m/>
    <m/>
    <m/>
    <m/>
    <m/>
    <m/>
    <n v="89.489399999999989"/>
    <m/>
    <n v="135.46581741696565"/>
    <m/>
    <m/>
    <m/>
    <m/>
    <m/>
    <m/>
    <m/>
    <m/>
    <m/>
    <m/>
    <m/>
    <m/>
    <n v="134.2362"/>
    <n v="-22.781399999999991"/>
    <m/>
    <m/>
    <m/>
    <m/>
    <n v="-43.289399999999993"/>
    <n v="5.3675999999999879"/>
    <n v="29"/>
    <n v="5.5357425515602188"/>
    <n v="0"/>
    <n v="0"/>
    <n v="0"/>
    <n v="0"/>
    <n v="0"/>
    <n v="0"/>
    <n v="0"/>
    <n v="-0.32172491808554327"/>
    <n v="0"/>
    <n v="0"/>
    <n v="5.3656868090301089"/>
    <n v="0"/>
    <n v="0"/>
    <n v="0"/>
    <n v="0.44720332354572001"/>
    <n v="0"/>
    <n v="0"/>
    <m/>
    <n v="0"/>
    <n v="0"/>
    <n v="0"/>
    <n v="0"/>
    <n v="0"/>
    <n v="4.4577337069923006E-2"/>
    <n v="0"/>
    <n v="0"/>
    <m/>
    <m/>
    <m/>
    <n v="84.060818941136944"/>
    <n v="0"/>
    <n v="0"/>
    <n v="-43.289399999999986"/>
    <n v="5.3675999999999959"/>
    <n v="0"/>
    <n v="0"/>
    <n v="-43.45826929345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0.56499999999999995"/>
    <n v="0.56499999999999995"/>
    <n v="0.56499999999999995"/>
    <n v="0.56499999999999995"/>
    <m/>
    <n v="325.25"/>
    <n v="297.72000000000003"/>
    <m/>
    <n v="351.97805"/>
    <n v="351.97805"/>
    <n v="300.96419999999995"/>
    <n v="0"/>
    <n v="0"/>
    <n v="0"/>
    <n v="0"/>
    <n v="0"/>
    <n v="56.159589294714699"/>
    <n v="113.08181595652945"/>
    <n v="168.21397919154282"/>
    <n v="0"/>
    <n v="0"/>
    <n v="0"/>
    <n v="0"/>
    <n v="0"/>
    <n v="0"/>
    <m/>
    <n v="0.50306861906484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019799000327637"/>
    <n v="0"/>
    <n v="0"/>
    <n v="0"/>
    <n v="62.23"/>
    <n v="4"/>
    <m/>
    <m/>
    <m/>
    <m/>
    <m/>
    <m/>
    <m/>
    <n v="30.097550000000002"/>
    <m/>
    <n v="182.23377819187044"/>
    <m/>
    <m/>
    <m/>
    <m/>
    <m/>
    <m/>
    <m/>
    <m/>
    <m/>
    <m/>
    <m/>
    <m/>
    <n v="273.26369999999997"/>
    <n v="-43.544849999999997"/>
    <m/>
    <m/>
    <m/>
    <m/>
    <n v="-58.234549999999992"/>
    <n v="7.2206999999999839"/>
    <n v="29"/>
    <n v="7.4468917657893314"/>
    <n v="0"/>
    <n v="0"/>
    <n v="0"/>
    <n v="0"/>
    <n v="0"/>
    <n v="0"/>
    <n v="0"/>
    <n v="-0.43279661599603969"/>
    <n v="0"/>
    <n v="0"/>
    <n v="7.2181263026238298"/>
    <n v="0"/>
    <n v="0"/>
    <n v="0"/>
    <n v="0.6015949471507902"/>
    <n v="0"/>
    <n v="0"/>
    <m/>
    <n v="0"/>
    <n v="0"/>
    <n v="0"/>
    <n v="0"/>
    <n v="0"/>
    <n v="5.9967132010729784E-2"/>
    <n v="0"/>
    <n v="0"/>
    <m/>
    <m/>
    <m/>
    <n v="113.08181595652945"/>
    <n v="0"/>
    <n v="0"/>
    <n v="-58.234549999999999"/>
    <n v="7.2206999999999653"/>
    <n v="0"/>
    <n v="0"/>
    <n v="-58.461719406666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0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249"/>
    <n v="0.249"/>
    <n v="0.249"/>
    <n v="0.249"/>
    <m/>
    <n v="325.25"/>
    <n v="297.72000000000003"/>
    <m/>
    <n v="155.11953"/>
    <n v="155.11953"/>
    <n v="132.63731999999999"/>
    <n v="0"/>
    <n v="0"/>
    <n v="0"/>
    <n v="0"/>
    <n v="0"/>
    <n v="24.749978290945062"/>
    <n v="49.836056943674045"/>
    <n v="74.133240387069321"/>
    <n v="0"/>
    <n v="0"/>
    <n v="0"/>
    <n v="0"/>
    <n v="0"/>
    <n v="0"/>
    <m/>
    <n v="0.22170634716308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786370815603222"/>
    <n v="0"/>
    <n v="0"/>
    <n v="0"/>
    <n v="42.84"/>
    <n v="2"/>
    <m/>
    <m/>
    <m/>
    <m/>
    <m/>
    <m/>
    <m/>
    <m/>
    <m/>
    <n v="80.311877468629646"/>
    <m/>
    <m/>
    <m/>
    <m/>
    <m/>
    <m/>
    <m/>
    <m/>
    <m/>
    <m/>
    <m/>
    <m/>
    <n v="133.17000000000002"/>
    <n v="-21.979530000000011"/>
    <m/>
    <m/>
    <m/>
    <m/>
    <n v="-25.664429999999999"/>
    <n v="3.1822199999999934"/>
    <n v="29"/>
    <n v="3.2819045127106676"/>
    <n v="0"/>
    <n v="0"/>
    <n v="0"/>
    <n v="0"/>
    <n v="0"/>
    <n v="0"/>
    <n v="0"/>
    <n v="-0.19073691572214457"/>
    <n v="0"/>
    <n v="0"/>
    <n v="3.1810857510678403"/>
    <n v="0"/>
    <n v="0"/>
    <n v="0"/>
    <n v="0.26512768467353354"/>
    <n v="0"/>
    <n v="0"/>
    <m/>
    <n v="0"/>
    <n v="0"/>
    <n v="0"/>
    <n v="0"/>
    <n v="0"/>
    <n v="2.6427992691454377E-2"/>
    <n v="0"/>
    <n v="0"/>
    <m/>
    <m/>
    <m/>
    <n v="49.836056943674045"/>
    <n v="0"/>
    <n v="0"/>
    <n v="-25.664430000000003"/>
    <n v="3.1822199999999867"/>
    <n v="0"/>
    <n v="0"/>
    <n v="-25.764545366831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0"/>
    <s v="Regular"/>
    <s v="Convencional"/>
    <s v="B3"/>
    <s v="Industrial"/>
    <s v="Não se aplica"/>
    <s v="Não se aplica"/>
    <s v="Não se aplica"/>
    <s v="Não se aplica"/>
    <s v="CATIVO"/>
    <x v="5"/>
    <n v="0"/>
    <n v="0"/>
    <n v="1.248"/>
    <n v="1.248"/>
    <n v="1.248"/>
    <n v="1.248"/>
    <m/>
    <n v="395.23"/>
    <n v="297.72000000000003"/>
    <m/>
    <n v="864.80160000000001"/>
    <n v="864.80160000000001"/>
    <n v="766.45920000000001"/>
    <n v="0"/>
    <n v="75.643299664041166"/>
    <n v="0"/>
    <n v="0"/>
    <n v="0"/>
    <n v="124.04808396425477"/>
    <n v="249.78071913937836"/>
    <n v="371.55937350627511"/>
    <n v="0"/>
    <n v="0"/>
    <n v="0"/>
    <n v="0"/>
    <n v="0"/>
    <n v="11.69486748171416"/>
    <m/>
    <n v="1.11120289662464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967626818422822"/>
    <n v="0"/>
    <n v="0"/>
    <n v="0"/>
    <n v="306.64"/>
    <n v="2"/>
    <m/>
    <m/>
    <m/>
    <m/>
    <m/>
    <m/>
    <m/>
    <m/>
    <m/>
    <n v="402.52700032469795"/>
    <m/>
    <m/>
    <m/>
    <m/>
    <m/>
    <m/>
    <m/>
    <m/>
    <m/>
    <m/>
    <m/>
    <m/>
    <n v="767.6875"/>
    <n v="-97.14409999999998"/>
    <m/>
    <m/>
    <m/>
    <m/>
    <n v="-114.29184000000005"/>
    <n v="15.949439999999965"/>
    <n v="29"/>
    <n v="30.780637778533332"/>
    <n v="0"/>
    <n v="0"/>
    <n v="0"/>
    <n v="0"/>
    <n v="0"/>
    <n v="0"/>
    <n v="0"/>
    <n v="-0.95598261373990567"/>
    <n v="0"/>
    <n v="0"/>
    <n v="15.943755089689489"/>
    <n v="0"/>
    <n v="0"/>
    <n v="0"/>
    <n v="1.3288327328215672"/>
    <n v="0"/>
    <n v="12.628414202814753"/>
    <m/>
    <n v="0"/>
    <n v="0"/>
    <n v="0"/>
    <n v="0"/>
    <n v="1.7031599939396891"/>
    <n v="0.13245837300777108"/>
    <n v="0"/>
    <n v="0"/>
    <m/>
    <m/>
    <m/>
    <n v="249.78071913937836"/>
    <n v="0"/>
    <n v="0"/>
    <n v="-114.29184000000004"/>
    <n v="15.949439999999981"/>
    <n v="0"/>
    <n v="0"/>
    <n v="-129.1331430433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1"/>
    <s v="Regular"/>
    <s v="Azul"/>
    <s v="A4"/>
    <s v="Industrial"/>
    <s v="Não se aplica"/>
    <s v="Não se aplica"/>
    <s v="Não se aplica"/>
    <s v="Ponta"/>
    <s v="CATIVO"/>
    <x v="5"/>
    <n v="715"/>
    <n v="715"/>
    <n v="24.837"/>
    <n v="24.837"/>
    <n v="24.837"/>
    <n v="24.837"/>
    <n v="78.569999999999993"/>
    <n v="72.290000000000006"/>
    <n v="297.72000000000003"/>
    <n v="56177.549999999996"/>
    <n v="9189.9383699999998"/>
    <n v="65367.488369999999"/>
    <n v="48010.069279999996"/>
    <n v="0"/>
    <n v="1309.7073648778357"/>
    <n v="0"/>
    <n v="0"/>
    <n v="0"/>
    <n v="21794.517656357159"/>
    <n v="34384.966773572196"/>
    <n v="7394.5674357174321"/>
    <n v="0"/>
    <n v="0"/>
    <n v="0"/>
    <n v="0"/>
    <n v="0"/>
    <n v="232.74473048344117"/>
    <m/>
    <n v="14.975563623234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94970276544052"/>
    <n v="0"/>
    <n v="0"/>
    <n v="0"/>
    <n v="0"/>
    <n v="0"/>
    <m/>
    <m/>
    <m/>
    <m/>
    <m/>
    <m/>
    <m/>
    <m/>
    <m/>
    <n v="7632.5171384828727"/>
    <m/>
    <m/>
    <m/>
    <m/>
    <m/>
    <m/>
    <m/>
    <m/>
    <m/>
    <m/>
    <m/>
    <m/>
    <n v="48011.249599999996"/>
    <n v="-17356.26877000001"/>
    <m/>
    <m/>
    <m/>
    <m/>
    <n v="-17674.835950000001"/>
    <n v="317.4168599999993"/>
    <n v="29"/>
    <n v="413.88577005319166"/>
    <n v="0"/>
    <n v="0"/>
    <n v="0"/>
    <n v="0"/>
    <n v="0"/>
    <n v="0"/>
    <n v="0"/>
    <n v="-167.96051408843778"/>
    <n v="0"/>
    <n v="0"/>
    <n v="317.30372208543031"/>
    <n v="0"/>
    <n v="0"/>
    <n v="0"/>
    <n v="10.210512922216282"/>
    <n v="0"/>
    <n v="218.65158132461306"/>
    <m/>
    <n v="0"/>
    <n v="0"/>
    <n v="0"/>
    <n v="0"/>
    <n v="33.895340360160333"/>
    <n v="1.7851274492115525"/>
    <n v="0"/>
    <n v="0"/>
    <m/>
    <m/>
    <n v="34384.966773572196"/>
    <n v="0"/>
    <n v="0"/>
    <n v="0"/>
    <n v="-17674.835950000001"/>
    <n v="317.41685999999936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2"/>
    <s v="Regular"/>
    <s v="Azul"/>
    <s v="A4"/>
    <s v="Industrial"/>
    <s v="Não se aplica"/>
    <s v="Não se aplica"/>
    <s v="Não se aplica"/>
    <s v="Fora ponta"/>
    <s v="CATIVO"/>
    <x v="5"/>
    <n v="715"/>
    <n v="715"/>
    <n v="181.595"/>
    <n v="181.595"/>
    <n v="181.595"/>
    <n v="181.595"/>
    <n v="25.76"/>
    <n v="72.290000000000006"/>
    <n v="297.72000000000003"/>
    <n v="18418.400000000001"/>
    <n v="67191.965950000013"/>
    <n v="85610.365950000007"/>
    <n v="84831.536800000002"/>
    <n v="0"/>
    <n v="9575.8871411599866"/>
    <n v="0"/>
    <n v="0"/>
    <n v="0"/>
    <n v="8809.0697848288128"/>
    <n v="9608.3573567757503"/>
    <n v="54065.163807589772"/>
    <n v="0"/>
    <n v="0"/>
    <n v="0"/>
    <n v="0"/>
    <n v="0"/>
    <n v="1701.7062983508677"/>
    <m/>
    <n v="109.49339598829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9.7623011511121"/>
    <n v="0"/>
    <n v="0"/>
    <n v="0"/>
    <n v="0"/>
    <n v="0"/>
    <m/>
    <m/>
    <m/>
    <m/>
    <m/>
    <m/>
    <m/>
    <m/>
    <m/>
    <n v="55804.926108740881"/>
    <m/>
    <m/>
    <m/>
    <m/>
    <m/>
    <m/>
    <m/>
    <m/>
    <m/>
    <m/>
    <m/>
    <m/>
    <n v="84833.503999999986"/>
    <n v="-776.89195000001928"/>
    <m/>
    <m/>
    <m/>
    <m/>
    <n v="-3099.613250000004"/>
    <n v="2320.7840999999949"/>
    <n v="29"/>
    <n v="4186.2645842493948"/>
    <n v="0"/>
    <n v="0"/>
    <n v="0"/>
    <n v="0"/>
    <n v="0"/>
    <n v="0"/>
    <n v="0"/>
    <n v="-67.88752625912457"/>
    <n v="0"/>
    <n v="0"/>
    <n v="2319.9568954424321"/>
    <n v="0"/>
    <n v="0"/>
    <n v="0"/>
    <n v="74.653866977085272"/>
    <n v="0"/>
    <n v="1598.6646499433537"/>
    <m/>
    <n v="0"/>
    <n v="0"/>
    <n v="0"/>
    <n v="0"/>
    <n v="247.82479094509449"/>
    <n v="13.051907200530337"/>
    <n v="0"/>
    <n v="0"/>
    <m/>
    <m/>
    <n v="9608.3573567757503"/>
    <n v="0"/>
    <n v="0"/>
    <n v="0"/>
    <n v="-3099.6132500000058"/>
    <n v="2320.7840999999898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3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959.7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14"/>
    <s v="Regular"/>
    <s v="Verde"/>
    <s v="A4"/>
    <s v="Industrial"/>
    <s v="Não se aplica"/>
    <s v="Não se aplica"/>
    <s v="Não se aplica"/>
    <s v="Ponta"/>
    <s v="CATIVO"/>
    <x v="5"/>
    <n v="0"/>
    <n v="0"/>
    <n v="43.325000000000003"/>
    <n v="43.325000000000003"/>
    <n v="43.325000000000003"/>
    <n v="43.325000000000003"/>
    <m/>
    <n v="1962.25"/>
    <n v="297.72000000000003"/>
    <m/>
    <n v="97913.200250000009"/>
    <n v="97913.200250000009"/>
    <n v="72777.768250000008"/>
    <n v="0"/>
    <n v="2284.618576451755"/>
    <n v="0"/>
    <n v="0"/>
    <n v="0"/>
    <n v="31773.751309088504"/>
    <n v="50109.110249673016"/>
    <n v="12898.886103493085"/>
    <n v="0"/>
    <n v="0"/>
    <n v="0"/>
    <n v="0"/>
    <n v="0"/>
    <n v="405.99369683114264"/>
    <m/>
    <n v="26.122973546589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07311158001011"/>
    <n v="0"/>
    <n v="0"/>
    <n v="0"/>
    <n v="0"/>
    <n v="0"/>
    <m/>
    <m/>
    <m/>
    <m/>
    <m/>
    <m/>
    <m/>
    <m/>
    <m/>
    <n v="13313.959215073095"/>
    <m/>
    <m/>
    <m/>
    <m/>
    <m/>
    <m/>
    <m/>
    <m/>
    <m/>
    <m/>
    <m/>
    <m/>
    <n v="72786.167300000001"/>
    <n v="-25127.062949999992"/>
    <m/>
    <m/>
    <m/>
    <m/>
    <n v="-25689.125500000006"/>
    <n v="553.69349999999883"/>
    <n v="29"/>
    <n v="770.09116560085386"/>
    <n v="0"/>
    <n v="0"/>
    <n v="0"/>
    <n v="0"/>
    <n v="0"/>
    <n v="0"/>
    <n v="0"/>
    <n v="-244.86596531012765"/>
    <n v="0"/>
    <n v="0"/>
    <n v="553.49614524102253"/>
    <n v="0"/>
    <n v="0"/>
    <n v="0"/>
    <n v="17.81094626384106"/>
    <n v="0"/>
    <n v="381.40998352815768"/>
    <m/>
    <n v="0"/>
    <n v="0"/>
    <n v="0"/>
    <n v="0"/>
    <n v="59.126127193459183"/>
    <n v="3.1139286845066039"/>
    <n v="0"/>
    <n v="0"/>
    <m/>
    <m/>
    <m/>
    <n v="50109.110249673016"/>
    <n v="0"/>
    <n v="0"/>
    <n v="-25689.125500000009"/>
    <n v="553.69349999999758"/>
    <n v="0"/>
    <n v="0"/>
    <n v="-25905.710112227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Fora ponta"/>
    <s v="CATIVO"/>
    <x v="5"/>
    <n v="0"/>
    <n v="0"/>
    <n v="546.24300000000005"/>
    <n v="546.24300000000005"/>
    <n v="546.24300000000005"/>
    <n v="546.24300000000005"/>
    <m/>
    <n v="72.290000000000006"/>
    <n v="297.72000000000003"/>
    <m/>
    <n v="202115.37243000005"/>
    <n v="202115.37243000005"/>
    <n v="214913.84592000002"/>
    <n v="0"/>
    <n v="28804.544836854842"/>
    <n v="0"/>
    <n v="0"/>
    <n v="0"/>
    <n v="0"/>
    <n v="0"/>
    <n v="162629.57280624058"/>
    <n v="0"/>
    <n v="0"/>
    <n v="0"/>
    <n v="0"/>
    <n v="0"/>
    <n v="5118.7816488894141"/>
    <m/>
    <n v="329.35929461072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33.2552034344944"/>
    <n v="0"/>
    <n v="0"/>
    <n v="0"/>
    <n v="0"/>
    <n v="0"/>
    <m/>
    <m/>
    <m/>
    <m/>
    <m/>
    <m/>
    <m/>
    <m/>
    <m/>
    <n v="167862.82800967508"/>
    <m/>
    <m/>
    <m/>
    <m/>
    <m/>
    <m/>
    <m/>
    <m/>
    <m/>
    <m/>
    <m/>
    <m/>
    <n v="214912.66559999998"/>
    <n v="12797.263169999933"/>
    <m/>
    <m/>
    <m/>
    <m/>
    <n v="5817.4879499999961"/>
    <n v="6980.985539999986"/>
    <n v="29"/>
    <n v="12796.612303755595"/>
    <n v="0"/>
    <n v="0"/>
    <n v="0"/>
    <n v="0"/>
    <n v="0"/>
    <n v="0"/>
    <n v="0"/>
    <n v="0"/>
    <n v="0"/>
    <n v="0"/>
    <n v="6978.4972848215257"/>
    <n v="0"/>
    <n v="0"/>
    <n v="0"/>
    <n v="224.56098603576083"/>
    <n v="0"/>
    <n v="4808.8293971695712"/>
    <m/>
    <n v="0"/>
    <n v="0"/>
    <n v="0"/>
    <n v="0"/>
    <n v="745.46412225128006"/>
    <n v="39.26051347745971"/>
    <n v="0"/>
    <n v="0"/>
    <m/>
    <m/>
    <m/>
    <n v="0"/>
    <n v="0"/>
    <n v="0"/>
    <n v="5817.4879499999952"/>
    <n v="6980.985539999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Não se aplica"/>
    <s v="CATIVO"/>
    <x v="5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5684.34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29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117"/>
    <s v="Regular"/>
    <s v="Convencional"/>
    <s v="B3"/>
    <s v="Comercial"/>
    <s v="Não se aplica"/>
    <s v="Não se aplica"/>
    <s v="Não se aplica"/>
    <s v="Não se aplica"/>
    <s v="CATIVO"/>
    <x v="5"/>
    <n v="0"/>
    <n v="0"/>
    <n v="29.172000000000001"/>
    <n v="29.172000000000001"/>
    <n v="29.172000000000001"/>
    <n v="29.172000000000001"/>
    <m/>
    <n v="395.23"/>
    <n v="297.72000000000003"/>
    <m/>
    <n v="20214.737400000002"/>
    <n v="20214.737400000002"/>
    <n v="17915.983800000002"/>
    <n v="0"/>
    <n v="1768.1621296469621"/>
    <n v="0"/>
    <n v="0"/>
    <n v="0"/>
    <n v="2899.6239626644556"/>
    <n v="5838.6243098829691"/>
    <n v="8685.2003557091812"/>
    <n v="0"/>
    <n v="0"/>
    <n v="0"/>
    <n v="0"/>
    <n v="0"/>
    <n v="273.36752738506851"/>
    <m/>
    <n v="25.974367708600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3.8682768806334"/>
    <n v="0"/>
    <n v="0"/>
    <n v="0"/>
    <n v="6919.05"/>
    <n v="47"/>
    <m/>
    <m/>
    <m/>
    <m/>
    <m/>
    <m/>
    <m/>
    <m/>
    <m/>
    <n v="9409.068632589815"/>
    <m/>
    <m/>
    <m/>
    <m/>
    <m/>
    <m/>
    <m/>
    <m/>
    <m/>
    <m/>
    <m/>
    <m/>
    <n v="17914.755499999999"/>
    <n v="-2300.0119000000013"/>
    <m/>
    <m/>
    <m/>
    <m/>
    <n v="-2671.5717600000012"/>
    <n v="372.81815999999924"/>
    <n v="29"/>
    <n v="719.49740807321541"/>
    <n v="0"/>
    <n v="0"/>
    <n v="0"/>
    <n v="0"/>
    <n v="0"/>
    <n v="0"/>
    <n v="0"/>
    <n v="-22.346093596170704"/>
    <n v="0"/>
    <n v="0"/>
    <n v="372.68527522149088"/>
    <n v="0"/>
    <n v="0"/>
    <n v="0"/>
    <n v="31.061465129704175"/>
    <n v="0"/>
    <n v="295.18918199079508"/>
    <m/>
    <n v="0"/>
    <n v="0"/>
    <n v="0"/>
    <n v="0"/>
    <n v="39.811364858340255"/>
    <n v="3.0962144690566547"/>
    <n v="0"/>
    <n v="0"/>
    <m/>
    <m/>
    <m/>
    <n v="5838.6243098829691"/>
    <n v="0"/>
    <n v="0"/>
    <n v="-2671.5717600000025"/>
    <n v="372.81816000000072"/>
    <n v="0"/>
    <n v="0"/>
    <n v="-3018.4872186394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8"/>
    <s v="Regular"/>
    <s v="Convencional"/>
    <s v="B2"/>
    <s v="Rural"/>
    <s v="Não se aplica"/>
    <s v="Não se aplica"/>
    <s v="Não se aplica"/>
    <s v="Não se aplica"/>
    <s v="CATIVO"/>
    <x v="5"/>
    <n v="0"/>
    <n v="0"/>
    <n v="448.75400000000002"/>
    <n v="448.75400000000002"/>
    <n v="448.75400000000002"/>
    <n v="448.75400000000002"/>
    <m/>
    <n v="395.23"/>
    <n v="297.72000000000003"/>
    <m/>
    <n v="310964.08429999999"/>
    <n v="310964.08429999999"/>
    <n v="275602.26910000003"/>
    <n v="0"/>
    <n v="27199.706167818211"/>
    <n v="0"/>
    <n v="0"/>
    <n v="0"/>
    <n v="44605.027140460887"/>
    <n v="89815.782721692784"/>
    <n v="133604.77171348958"/>
    <n v="0"/>
    <n v="0"/>
    <n v="0"/>
    <n v="0"/>
    <n v="0"/>
    <n v="4205.2232066419519"/>
    <m/>
    <n v="399.56469925632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35.293593969964"/>
    <n v="0"/>
    <n v="1.61"/>
    <n v="7.51"/>
    <n v="78811.539999999994"/>
    <n v="946"/>
    <m/>
    <m/>
    <m/>
    <m/>
    <m/>
    <n v="33073.169799999996"/>
    <m/>
    <m/>
    <m/>
    <n v="144740.06530745953"/>
    <m/>
    <m/>
    <m/>
    <m/>
    <m/>
    <m/>
    <m/>
    <m/>
    <m/>
    <m/>
    <m/>
    <m/>
    <n v="242526.9375"/>
    <n v="-31123.28170000005"/>
    <m/>
    <m/>
    <m/>
    <m/>
    <n v="-41096.891320000017"/>
    <n v="5735.0761199999879"/>
    <n v="29"/>
    <n v="11068.056350695522"/>
    <n v="0"/>
    <n v="0"/>
    <n v="0"/>
    <n v="0"/>
    <n v="0"/>
    <n v="0"/>
    <n v="0"/>
    <n v="-343.75081878704805"/>
    <n v="0"/>
    <n v="0"/>
    <n v="5733.0319483321509"/>
    <n v="0"/>
    <n v="0"/>
    <n v="0"/>
    <n v="477.8197148915151"/>
    <n v="0"/>
    <n v="4540.9065602323171"/>
    <m/>
    <n v="0"/>
    <n v="0"/>
    <n v="0"/>
    <n v="0"/>
    <n v="612.41975955161251"/>
    <n v="47.629186474943424"/>
    <n v="0"/>
    <n v="0"/>
    <m/>
    <m/>
    <m/>
    <n v="89815.782721692784"/>
    <n v="0"/>
    <n v="0"/>
    <n v="-41096.891319999995"/>
    <n v="5735.0761199999833"/>
    <n v="0"/>
    <n v="0"/>
    <n v="-46433.505186936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19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24.344999999999999"/>
    <n v="24.344999999999999"/>
    <n v="24.344999999999999"/>
    <n v="24.344999999999999"/>
    <m/>
    <n v="395.23"/>
    <n v="297.72000000000003"/>
    <m/>
    <n v="16869.867750000001"/>
    <n v="16869.867750000001"/>
    <n v="14951.481749999999"/>
    <n v="0"/>
    <n v="1475.5898480136875"/>
    <n v="0"/>
    <n v="0"/>
    <n v="0"/>
    <n v="2419.8322148315565"/>
    <n v="4872.5253264809016"/>
    <n v="7248.08729808515"/>
    <n v="0"/>
    <n v="0"/>
    <n v="0"/>
    <n v="0"/>
    <n v="0"/>
    <n v="228.13425388007309"/>
    <m/>
    <n v="21.67646996660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4.09204719110858"/>
    <n v="0"/>
    <n v="0"/>
    <n v="0"/>
    <n v="12526.96"/>
    <n v="23"/>
    <m/>
    <m/>
    <m/>
    <m/>
    <m/>
    <n v="1794.2264999999998"/>
    <m/>
    <m/>
    <m/>
    <n v="7852.1793452762586"/>
    <m/>
    <m/>
    <m/>
    <m/>
    <m/>
    <m/>
    <m/>
    <m/>
    <m/>
    <m/>
    <m/>
    <m/>
    <n v="13159.9575"/>
    <n v="-1685.6535000000003"/>
    <m/>
    <m/>
    <m/>
    <m/>
    <n v="-2229.515100000001"/>
    <n v="311.12909999999931"/>
    <n v="29"/>
    <n v="600.44441243461006"/>
    <n v="0"/>
    <n v="0"/>
    <n v="0"/>
    <n v="0"/>
    <n v="0"/>
    <n v="0"/>
    <n v="0"/>
    <n v="-18.648555073315947"/>
    <n v="0"/>
    <n v="0"/>
    <n v="311.01820325199515"/>
    <n v="0"/>
    <n v="0"/>
    <n v="0"/>
    <n v="25.92182121838232"/>
    <n v="0"/>
    <n v="246.34514724961946"/>
    <m/>
    <n v="0"/>
    <n v="0"/>
    <n v="0"/>
    <n v="0"/>
    <n v="33.223902285626394"/>
    <n v="2.583893502303038"/>
    <n v="0"/>
    <n v="0"/>
    <m/>
    <m/>
    <m/>
    <n v="4872.5253264809016"/>
    <n v="0"/>
    <n v="0"/>
    <n v="-2229.5151000000005"/>
    <n v="311.1290999999992"/>
    <n v="0"/>
    <n v="0"/>
    <n v="-2519.027537973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0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0.90100000000000002"/>
    <n v="0.90100000000000002"/>
    <n v="0.90100000000000002"/>
    <n v="0.90100000000000002"/>
    <m/>
    <n v="395.23"/>
    <n v="297.72000000000003"/>
    <m/>
    <n v="624.34795000000008"/>
    <n v="624.34795000000008"/>
    <n v="553.34915000000001"/>
    <n v="0"/>
    <n v="54.611068106811771"/>
    <n v="0"/>
    <n v="0"/>
    <n v="0"/>
    <n v="89.55715036201407"/>
    <n v="180.33047110943903"/>
    <n v="268.24919513553999"/>
    <n v="0"/>
    <n v="0"/>
    <n v="0"/>
    <n v="0"/>
    <n v="0"/>
    <n v="8.4431695521029315"/>
    <m/>
    <n v="0.80223862969455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357236989903015"/>
    <n v="0"/>
    <n v="0"/>
    <n v="0"/>
    <n v="221.32"/>
    <n v="17"/>
    <m/>
    <m/>
    <m/>
    <m/>
    <m/>
    <m/>
    <m/>
    <m/>
    <m/>
    <n v="290.60643212544301"/>
    <m/>
    <m/>
    <m/>
    <m/>
    <m/>
    <m/>
    <m/>
    <m/>
    <m/>
    <m/>
    <m/>
    <m/>
    <n v="552.7349999999999"/>
    <n v="-71.642950000000155"/>
    <m/>
    <m/>
    <m/>
    <m/>
    <n v="-82.513580000000033"/>
    <n v="11.514779999999975"/>
    <n v="29"/>
    <n v="22.222239293636619"/>
    <n v="0"/>
    <n v="0"/>
    <n v="0"/>
    <n v="0"/>
    <n v="0"/>
    <n v="0"/>
    <n v="0"/>
    <n v="-0.69017655046447146"/>
    <n v="0"/>
    <n v="0"/>
    <n v="11.510675749847906"/>
    <n v="0"/>
    <n v="0"/>
    <n v="0"/>
    <n v="0.95935760598736408"/>
    <n v="0"/>
    <n v="9.1171483948205818"/>
    <m/>
    <n v="0"/>
    <n v="0"/>
    <n v="0"/>
    <n v="0"/>
    <n v="1.2296050917785735"/>
    <n v="9.5629001666668212E-2"/>
    <n v="0"/>
    <n v="0"/>
    <m/>
    <m/>
    <m/>
    <n v="180.33047110943903"/>
    <n v="0"/>
    <n v="0"/>
    <n v="-82.513580000000047"/>
    <n v="11.514779999999973"/>
    <n v="0"/>
    <n v="0"/>
    <n v="-93.22833484142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1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19.079999999999998"/>
    <n v="19.079999999999998"/>
    <n v="19.079999999999998"/>
    <n v="19.079999999999998"/>
    <m/>
    <n v="217.38"/>
    <n v="163.75"/>
    <m/>
    <n v="7271.9603999999999"/>
    <n v="7271.9603999999999"/>
    <n v="6444.8423999999995"/>
    <n v="0"/>
    <n v="636.05832265580773"/>
    <n v="0"/>
    <n v="0"/>
    <n v="0"/>
    <n v="1043.0773983340459"/>
    <n v="2100.31960468641"/>
    <n v="3124.3141551080516"/>
    <n v="0"/>
    <n v="0"/>
    <n v="0"/>
    <n v="0"/>
    <n v="0"/>
    <n v="98.338092430375227"/>
    <m/>
    <n v="9.3437205105600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39605435298807"/>
    <n v="0"/>
    <n v="0"/>
    <n v="0"/>
    <n v="3051.39"/>
    <n v="1"/>
    <m/>
    <m/>
    <m/>
    <m/>
    <m/>
    <m/>
    <m/>
    <m/>
    <m/>
    <n v="3384.7102094610395"/>
    <m/>
    <m/>
    <m/>
    <m/>
    <m/>
    <m/>
    <m/>
    <m/>
    <m/>
    <m/>
    <m/>
    <m/>
    <n v="6444.8423999999995"/>
    <n v="-827.14800000000105"/>
    <m/>
    <m/>
    <m/>
    <m/>
    <n v="-961.05960000000005"/>
    <n v="133.94160000000019"/>
    <n v="29"/>
    <n v="258.82372824353661"/>
    <n v="0"/>
    <n v="0"/>
    <n v="0"/>
    <n v="0"/>
    <n v="0"/>
    <n v="0"/>
    <n v="0"/>
    <n v="-8.0385268818799887"/>
    <n v="0"/>
    <n v="0"/>
    <n v="134.06551755705686"/>
    <n v="0"/>
    <n v="0"/>
    <n v="0"/>
    <n v="11.173694469735267"/>
    <n v="0"/>
    <n v="106.18796365732146"/>
    <m/>
    <n v="0"/>
    <n v="0"/>
    <n v="0"/>
    <n v="0"/>
    <n v="14.321282833656795"/>
    <n v="1.1137966076470853"/>
    <n v="0"/>
    <n v="0"/>
    <m/>
    <m/>
    <m/>
    <n v="2100.31960468641"/>
    <n v="0"/>
    <n v="0"/>
    <n v="-961.05960000000005"/>
    <n v="133.94160000000011"/>
    <n v="0"/>
    <n v="0"/>
    <n v="-1085.8358999178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2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0.71099999999999997"/>
    <n v="0.66833999999999993"/>
    <n v="0.71099999999999997"/>
    <n v="0.66833999999999993"/>
    <m/>
    <n v="395.23"/>
    <n v="297.72000000000003"/>
    <m/>
    <n v="492.68745000000001"/>
    <n v="492.68745000000001"/>
    <n v="436.66064999999998"/>
    <n v="0"/>
    <n v="43.094860625908062"/>
    <n v="0"/>
    <n v="0"/>
    <n v="0"/>
    <n v="70.671624758481684"/>
    <n v="142.30295777892468"/>
    <n v="211.68166231006538"/>
    <n v="0"/>
    <n v="0"/>
    <n v="0"/>
    <n v="0"/>
    <n v="0"/>
    <n v="6.662700945111192"/>
    <m/>
    <n v="0.63306511177894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4261431722646"/>
    <n v="0"/>
    <n v="0"/>
    <n v="0"/>
    <n v="174.69"/>
    <n v="2"/>
    <m/>
    <m/>
    <m/>
    <m/>
    <n v="26.199639000000019"/>
    <m/>
    <m/>
    <m/>
    <m/>
    <n v="229.32427662729185"/>
    <m/>
    <m/>
    <m/>
    <m/>
    <m/>
    <m/>
    <m/>
    <m/>
    <m/>
    <m/>
    <m/>
    <m/>
    <n v="411.48050000000001"/>
    <n v="-51.675702999999942"/>
    <m/>
    <m/>
    <m/>
    <m/>
    <n v="-65.113380000000021"/>
    <n v="9.0865799999999801"/>
    <n v="29"/>
    <n v="17.536084503635607"/>
    <n v="0"/>
    <n v="0"/>
    <n v="0"/>
    <n v="0"/>
    <n v="0"/>
    <n v="0"/>
    <n v="0"/>
    <n v="-0.54463432561624359"/>
    <n v="0"/>
    <n v="0"/>
    <n v="9.0833412410009657"/>
    <n v="0"/>
    <n v="0"/>
    <n v="0"/>
    <n v="0.7570513405738275"/>
    <n v="0"/>
    <n v="7.1945532838151323"/>
    <m/>
    <n v="0"/>
    <n v="0"/>
    <n v="0"/>
    <n v="0"/>
    <n v="0.97030990039352538"/>
    <n v="7.5463063468369618E-2"/>
    <n v="0"/>
    <n v="0"/>
    <m/>
    <m/>
    <m/>
    <n v="142.30295777892468"/>
    <n v="0"/>
    <n v="0"/>
    <n v="-65.113380000000035"/>
    <n v="9.0865799999999979"/>
    <n v="0"/>
    <n v="0"/>
    <n v="-73.5686415896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050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24"/>
    <s v="Regular"/>
    <s v="Convencional"/>
    <s v="B2"/>
    <s v="Rural"/>
    <s v="Agropecuária rural"/>
    <s v="IRRIG./AQUIC."/>
    <s v="Não se aplica"/>
    <s v="Não se aplica"/>
    <s v="CATIVO"/>
    <x v="5"/>
    <n v="0"/>
    <n v="0"/>
    <n v="9.5000000000000001E-2"/>
    <n v="9.5000000000000001E-2"/>
    <n v="9.5000000000000001E-2"/>
    <n v="9.5000000000000001E-2"/>
    <m/>
    <n v="395.23"/>
    <n v="297.72000000000003"/>
    <m/>
    <n v="65.830250000000007"/>
    <n v="65.830250000000007"/>
    <n v="58.344249999999995"/>
    <n v="0"/>
    <n v="5.7581037404518511"/>
    <n v="0"/>
    <n v="0"/>
    <n v="0"/>
    <n v="9.4427628017661895"/>
    <n v="19.013756665257166"/>
    <n v="28.28376641273729"/>
    <n v="0"/>
    <n v="0"/>
    <n v="0"/>
    <n v="0"/>
    <n v="0"/>
    <n v="0.89023430349586963"/>
    <m/>
    <n v="8.4586758957805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573113363382756"/>
    <n v="0"/>
    <n v="0"/>
    <n v="0"/>
    <n v="0"/>
    <n v="0"/>
    <m/>
    <m/>
    <m/>
    <m/>
    <m/>
    <n v="8.1557499999999976"/>
    <m/>
    <m/>
    <m/>
    <n v="30.641077749075563"/>
    <m/>
    <m/>
    <m/>
    <m/>
    <m/>
    <m/>
    <m/>
    <m/>
    <m/>
    <m/>
    <m/>
    <m/>
    <n v="52.83"/>
    <n v="-3.6290499999999994"/>
    <m/>
    <m/>
    <m/>
    <m/>
    <n v="-8.7001000000000044"/>
    <n v="1.2140999999999975"/>
    <n v="29"/>
    <n v="2.3430773950005488"/>
    <n v="0"/>
    <n v="0"/>
    <n v="0"/>
    <n v="0"/>
    <n v="0"/>
    <n v="0"/>
    <n v="0"/>
    <n v="-7.2771112424112161E-2"/>
    <n v="0"/>
    <n v="0"/>
    <n v="1.213667254423477"/>
    <n v="0"/>
    <n v="0"/>
    <n v="0"/>
    <n v="0.10115313270677007"/>
    <n v="0"/>
    <n v="0.96129755550272566"/>
    <m/>
    <n v="0"/>
    <n v="0"/>
    <n v="0"/>
    <n v="0"/>
    <n v="0.12964759569252438"/>
    <n v="1.0082969099149255E-2"/>
    <n v="0"/>
    <n v="0"/>
    <m/>
    <m/>
    <m/>
    <n v="19.013756665257166"/>
    <n v="0"/>
    <n v="0"/>
    <n v="-8.7001000000000026"/>
    <n v="1.2140999999999948"/>
    <n v="0"/>
    <n v="0"/>
    <n v="-9.829846625899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5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5.0000000000000001E-3"/>
    <n v="2E-3"/>
    <n v="5.0000000000000001E-3"/>
    <n v="2E-3"/>
    <m/>
    <n v="395.23"/>
    <n v="297.72000000000003"/>
    <m/>
    <n v="3.4647500000000004"/>
    <n v="3.4647500000000004"/>
    <n v="3.0707499999999999"/>
    <n v="0"/>
    <n v="0.30305809160272901"/>
    <n v="0"/>
    <n v="0"/>
    <n v="0"/>
    <n v="0.49698751588243101"/>
    <n v="1.0007240350135351"/>
    <n v="1.4886192848809099"/>
    <n v="0"/>
    <n v="0"/>
    <n v="0"/>
    <n v="0"/>
    <n v="0"/>
    <n v="4.68544370260984E-2"/>
    <m/>
    <n v="4.4519346819897497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406901770201451"/>
    <n v="0"/>
    <n v="0"/>
    <n v="0"/>
    <n v="0"/>
    <n v="0"/>
    <m/>
    <m/>
    <m/>
    <m/>
    <m/>
    <m/>
    <n v="2.0141499999999999"/>
    <m/>
    <m/>
    <n v="1.6126883025829244"/>
    <m/>
    <m/>
    <m/>
    <m/>
    <m/>
    <m/>
    <m/>
    <m/>
    <m/>
    <m/>
    <m/>
    <m/>
    <n v="0"/>
    <n v="-1.2179800000000001"/>
    <m/>
    <m/>
    <m/>
    <m/>
    <n v="-0.4579000000000002"/>
    <n v="6.389999999999986E-2"/>
    <n v="29"/>
    <n v="0.12331986289476538"/>
    <n v="0"/>
    <n v="0"/>
    <n v="0"/>
    <n v="0"/>
    <n v="0"/>
    <n v="0"/>
    <n v="0"/>
    <n v="-3.8300585486374938E-3"/>
    <n v="0"/>
    <n v="0"/>
    <n v="6.3877223917025105E-2"/>
    <n v="0"/>
    <n v="0"/>
    <n v="0"/>
    <n v="5.3238490898299962E-3"/>
    <n v="0"/>
    <n v="5.0594608184353962E-2"/>
    <m/>
    <n v="0"/>
    <n v="0"/>
    <n v="0"/>
    <n v="0"/>
    <n v="6.8235576680275994E-3"/>
    <n v="5.306825841657507E-4"/>
    <n v="0"/>
    <n v="0"/>
    <m/>
    <m/>
    <m/>
    <n v="1.0007240350135351"/>
    <n v="0"/>
    <n v="0"/>
    <n v="-0.4579000000000002"/>
    <n v="6.3899999999999846E-2"/>
    <n v="0"/>
    <n v="0"/>
    <n v="-0.51736034873156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6"/>
    <s v="Regular"/>
    <s v="Convencional"/>
    <s v="B1"/>
    <s v="Residencial"/>
    <s v="Residencial"/>
    <s v="Não se aplica"/>
    <s v="Não se aplica"/>
    <s v="Não se aplica"/>
    <s v="CATIVO"/>
    <x v="6"/>
    <n v="0"/>
    <n v="0"/>
    <n v="34.155999999999999"/>
    <n v="34.155999999999999"/>
    <n v="34.155999999999999"/>
    <n v="34.155999999999999"/>
    <m/>
    <n v="395.23"/>
    <n v="297.72000000000003"/>
    <m/>
    <n v="23668.4002"/>
    <n v="23668.4002"/>
    <n v="20976.907399999996"/>
    <n v="0"/>
    <n v="2070.2504353565623"/>
    <n v="0"/>
    <n v="0"/>
    <n v="0"/>
    <n v="3395.0211184960626"/>
    <n v="6836.1460279844605"/>
    <n v="10169.056058878472"/>
    <n v="0"/>
    <n v="0"/>
    <n v="0"/>
    <n v="0"/>
    <n v="0"/>
    <n v="320.07203021268339"/>
    <m/>
    <n v="30.412056199608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7.54027372600149"/>
    <n v="0"/>
    <n v="0"/>
    <n v="0"/>
    <n v="4711.45"/>
    <n v="256"/>
    <m/>
    <m/>
    <m/>
    <m/>
    <m/>
    <m/>
    <m/>
    <m/>
    <m/>
    <n v="11016.596332604473"/>
    <m/>
    <m/>
    <m/>
    <m/>
    <m/>
    <m/>
    <m/>
    <m/>
    <m/>
    <m/>
    <m/>
    <m/>
    <n v="20979.363999999994"/>
    <n v="-2689.0662000000048"/>
    <m/>
    <m/>
    <m/>
    <m/>
    <n v="-3128.0064800000014"/>
    <n v="436.51367999999906"/>
    <n v="31"/>
    <n v="842.42264740671817"/>
    <n v="0"/>
    <n v="0"/>
    <n v="0"/>
    <n v="0"/>
    <n v="0"/>
    <n v="0"/>
    <n v="0"/>
    <n v="-26.163895957452496"/>
    <n v="0"/>
    <n v="0"/>
    <n v="436.35809202198107"/>
    <n v="0"/>
    <n v="0"/>
    <n v="0"/>
    <n v="36.368277902446607"/>
    <n v="0"/>
    <n v="345.62188742895887"/>
    <m/>
    <n v="0"/>
    <n v="0"/>
    <n v="0"/>
    <n v="0"/>
    <n v="46.613087141830135"/>
    <n v="3.6251988689530705"/>
    <n v="0"/>
    <n v="0"/>
    <m/>
    <m/>
    <m/>
    <n v="6836.1460279844605"/>
    <n v="0"/>
    <n v="0"/>
    <n v="-3128.0064800000018"/>
    <n v="436.51368000000002"/>
    <n v="0"/>
    <n v="0"/>
    <n v="-3534.192014255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7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0.22900000000000001"/>
    <n v="0.22900000000000001"/>
    <n v="0.22900000000000001"/>
    <n v="0.22900000000000001"/>
    <m/>
    <n v="395.23"/>
    <n v="297.72000000000003"/>
    <m/>
    <n v="158.68555000000003"/>
    <n v="158.68555000000003"/>
    <n v="140.64035000000001"/>
    <n v="0"/>
    <n v="13.88006059540499"/>
    <n v="0"/>
    <n v="0"/>
    <n v="0"/>
    <n v="22.762028227415339"/>
    <n v="45.833160803619904"/>
    <n v="68.178763247545675"/>
    <n v="0"/>
    <n v="0"/>
    <n v="0"/>
    <n v="0"/>
    <n v="0"/>
    <n v="2.1459332157953068"/>
    <m/>
    <n v="0.20389860843513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823610107522642"/>
    <n v="0"/>
    <n v="0"/>
    <n v="0"/>
    <n v="49.16"/>
    <n v="1"/>
    <m/>
    <m/>
    <m/>
    <m/>
    <m/>
    <m/>
    <m/>
    <m/>
    <m/>
    <n v="73.861124258297934"/>
    <m/>
    <m/>
    <m/>
    <m/>
    <m/>
    <m/>
    <m/>
    <m/>
    <m/>
    <m/>
    <m/>
    <m/>
    <n v="141.25450000000001"/>
    <n v="-17.46105"/>
    <m/>
    <m/>
    <m/>
    <m/>
    <n v="-20.971820000000012"/>
    <n v="2.926619999999994"/>
    <n v="31"/>
    <n v="5.6480497205802607"/>
    <n v="0"/>
    <n v="0"/>
    <n v="0"/>
    <n v="0"/>
    <n v="0"/>
    <n v="0"/>
    <n v="0"/>
    <n v="-0.17541668152759371"/>
    <n v="0"/>
    <n v="0"/>
    <n v="2.9255768553997541"/>
    <n v="0"/>
    <n v="0"/>
    <n v="0"/>
    <n v="0.24383228831421455"/>
    <n v="0"/>
    <n v="2.3172330548434115"/>
    <m/>
    <n v="0"/>
    <n v="0"/>
    <n v="0"/>
    <n v="0"/>
    <n v="0.31251894119566392"/>
    <n v="2.4305262354791357E-2"/>
    <n v="0"/>
    <n v="0"/>
    <m/>
    <m/>
    <m/>
    <n v="45.833160803619904"/>
    <n v="0"/>
    <n v="0"/>
    <n v="-20.971820000000008"/>
    <n v="2.9266199999999856"/>
    <n v="0"/>
    <n v="0"/>
    <n v="-23.695103971905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.3"/>
    <n v="0.3"/>
    <n v="0.3"/>
    <n v="0.3"/>
    <m/>
    <n v="325.25"/>
    <n v="297.72000000000003"/>
    <m/>
    <n v="186.89100000000002"/>
    <n v="186.89100000000002"/>
    <n v="159.80399999999997"/>
    <n v="0"/>
    <n v="0"/>
    <n v="0"/>
    <n v="0"/>
    <n v="0"/>
    <n v="29.819250952945858"/>
    <n v="60.043442100812101"/>
    <n v="89.3171570928546"/>
    <n v="0"/>
    <n v="0"/>
    <n v="0"/>
    <n v="0"/>
    <n v="0"/>
    <n v="0"/>
    <m/>
    <n v="0.2671160809193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3"/>
    <n v="0"/>
    <n v="0"/>
    <n v="0"/>
    <n v="7.3"/>
    <n v="1"/>
    <m/>
    <m/>
    <m/>
    <m/>
    <m/>
    <m/>
    <m/>
    <n v="103.875"/>
    <m/>
    <n v="96.761298154975464"/>
    <m/>
    <m/>
    <m/>
    <m/>
    <m/>
    <m/>
    <m/>
    <m/>
    <m/>
    <m/>
    <m/>
    <m/>
    <n v="55.929000000000002"/>
    <n v="-9.512999999999991"/>
    <m/>
    <m/>
    <m/>
    <m/>
    <n v="-30.920999999999996"/>
    <n v="3.8339999999999916"/>
    <n v="31"/>
    <n v="3.9541018225430093"/>
    <n v="0"/>
    <n v="0"/>
    <n v="0"/>
    <n v="0"/>
    <n v="0"/>
    <n v="0"/>
    <n v="0"/>
    <n v="-0.22980351291824874"/>
    <n v="0"/>
    <n v="0"/>
    <n v="3.8326334350215063"/>
    <n v="0"/>
    <n v="0"/>
    <n v="0"/>
    <n v="0.31943094538979899"/>
    <n v="0"/>
    <n v="0"/>
    <m/>
    <n v="0"/>
    <n v="0"/>
    <n v="0"/>
    <n v="0"/>
    <n v="0"/>
    <n v="3.1840955049944997E-2"/>
    <n v="0"/>
    <n v="0"/>
    <m/>
    <m/>
    <m/>
    <n v="60.043442100812101"/>
    <n v="0"/>
    <n v="0"/>
    <n v="-30.921000000000006"/>
    <n v="3.833999999999989"/>
    <n v="0"/>
    <n v="0"/>
    <n v="-31.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29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0.56100000000000005"/>
    <n v="0.56100000000000005"/>
    <n v="0.56100000000000005"/>
    <n v="0.56100000000000005"/>
    <m/>
    <n v="325.25"/>
    <n v="297.72000000000003"/>
    <m/>
    <n v="349.48617000000002"/>
    <n v="349.48617000000002"/>
    <n v="298.83348000000001"/>
    <n v="0"/>
    <n v="0"/>
    <n v="0"/>
    <n v="0"/>
    <n v="0"/>
    <n v="55.761999282008759"/>
    <n v="112.28123672851865"/>
    <n v="167.02308376363811"/>
    <n v="0"/>
    <n v="0"/>
    <n v="0"/>
    <n v="0"/>
    <n v="0"/>
    <n v="0"/>
    <m/>
    <n v="0.499507071319249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20543786166029"/>
    <n v="0"/>
    <n v="0"/>
    <n v="0"/>
    <n v="23.72"/>
    <n v="1"/>
    <m/>
    <m/>
    <m/>
    <m/>
    <m/>
    <m/>
    <m/>
    <n v="119.53227000000001"/>
    <m/>
    <n v="180.94362754980415"/>
    <m/>
    <m/>
    <m/>
    <m/>
    <m/>
    <m/>
    <m/>
    <m/>
    <m/>
    <m/>
    <m/>
    <m/>
    <n v="178.98160000000001"/>
    <n v="-30.738980000000026"/>
    <m/>
    <m/>
    <m/>
    <m/>
    <n v="-57.822270000000003"/>
    <n v="7.1695799999999856"/>
    <n v="31"/>
    <n v="7.3941704081554178"/>
    <n v="0"/>
    <n v="0"/>
    <n v="0"/>
    <n v="0"/>
    <n v="0"/>
    <n v="0"/>
    <n v="0"/>
    <n v="-0.42973256915712454"/>
    <n v="0"/>
    <n v="0"/>
    <n v="7.1670245234902268"/>
    <n v="0"/>
    <n v="0"/>
    <n v="0"/>
    <n v="0.59733586787892534"/>
    <n v="0"/>
    <n v="0"/>
    <m/>
    <n v="0"/>
    <n v="0"/>
    <n v="0"/>
    <n v="0"/>
    <n v="0"/>
    <n v="5.954258594339723E-2"/>
    <n v="0"/>
    <n v="0"/>
    <m/>
    <m/>
    <m/>
    <n v="112.28123672851865"/>
    <n v="0"/>
    <n v="0"/>
    <n v="-57.822270000000003"/>
    <n v="7.1695799999999963"/>
    <n v="0"/>
    <n v="0"/>
    <n v="-58.04783112768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0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0.77600000000000002"/>
    <n v="0.77600000000000002"/>
    <n v="0.77600000000000002"/>
    <n v="0.77600000000000002"/>
    <m/>
    <n v="325.25"/>
    <n v="297.72000000000003"/>
    <m/>
    <n v="483.42472000000004"/>
    <n v="483.42472000000004"/>
    <n v="413.35968000000003"/>
    <n v="0"/>
    <n v="0"/>
    <n v="0"/>
    <n v="0"/>
    <n v="0"/>
    <n v="77.132462464953292"/>
    <n v="155.31237023410065"/>
    <n v="231.03371301351723"/>
    <n v="0"/>
    <n v="0"/>
    <n v="0"/>
    <n v="0"/>
    <n v="0"/>
    <n v="0"/>
    <m/>
    <n v="0.69094026264480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255511547352651"/>
    <n v="0"/>
    <n v="0"/>
    <n v="0"/>
    <n v="86.4"/>
    <n v="4"/>
    <m/>
    <m/>
    <m/>
    <m/>
    <m/>
    <m/>
    <m/>
    <n v="41.337520000000012"/>
    <m/>
    <n v="250.28922456086988"/>
    <m/>
    <m/>
    <m/>
    <m/>
    <m/>
    <m/>
    <m/>
    <m/>
    <m/>
    <m/>
    <m/>
    <m/>
    <n v="373.93979999999999"/>
    <n v="-61.170119999999997"/>
    <m/>
    <m/>
    <m/>
    <m/>
    <n v="-79.982320000000001"/>
    <n v="9.9172799999999786"/>
    <n v="31"/>
    <n v="10.227943380977933"/>
    <n v="0"/>
    <n v="0"/>
    <n v="0"/>
    <n v="0"/>
    <n v="0"/>
    <n v="0"/>
    <n v="0"/>
    <n v="-0.59442508674852945"/>
    <n v="0"/>
    <n v="0"/>
    <n v="9.9137451519223134"/>
    <n v="0"/>
    <n v="0"/>
    <n v="0"/>
    <n v="0.82626137874161643"/>
    <n v="0"/>
    <n v="0"/>
    <m/>
    <n v="0"/>
    <n v="0"/>
    <n v="0"/>
    <n v="0"/>
    <n v="0"/>
    <n v="8.2361937062524371E-2"/>
    <n v="0"/>
    <n v="0"/>
    <m/>
    <m/>
    <m/>
    <n v="155.31237023410065"/>
    <n v="0"/>
    <n v="0"/>
    <n v="-79.982319999999987"/>
    <n v="9.9172799999999768"/>
    <n v="0"/>
    <n v="0"/>
    <n v="-80.294326123138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17799999999999999"/>
    <n v="0.17799999999999999"/>
    <n v="0.17799999999999999"/>
    <n v="0.17799999999999999"/>
    <m/>
    <n v="325.25"/>
    <n v="297.72000000000003"/>
    <m/>
    <n v="110.88866"/>
    <n v="110.88866"/>
    <n v="94.817039999999992"/>
    <n v="0"/>
    <n v="0"/>
    <n v="0"/>
    <n v="0"/>
    <n v="0"/>
    <n v="17.692755565414544"/>
    <n v="35.625775646481848"/>
    <n v="52.994846541760396"/>
    <n v="0"/>
    <n v="0"/>
    <n v="0"/>
    <n v="0"/>
    <n v="0"/>
    <n v="0"/>
    <m/>
    <n v="0.158488874678835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16857030191716"/>
    <n v="0"/>
    <n v="0"/>
    <n v="0"/>
    <n v="30.62"/>
    <n v="4"/>
    <m/>
    <m/>
    <m/>
    <m/>
    <m/>
    <m/>
    <m/>
    <m/>
    <m/>
    <n v="57.41170357195211"/>
    <m/>
    <m/>
    <m/>
    <m/>
    <m/>
    <m/>
    <m/>
    <m/>
    <m/>
    <m/>
    <m/>
    <m/>
    <n v="95.88239999999999"/>
    <n v="-15.036260000000013"/>
    <m/>
    <m/>
    <m/>
    <m/>
    <n v="-18.346459999999997"/>
    <n v="2.2748399999999949"/>
    <n v="31"/>
    <n v="2.3461004147088289"/>
    <n v="0"/>
    <n v="0"/>
    <n v="0"/>
    <n v="0"/>
    <n v="0"/>
    <n v="0"/>
    <n v="0"/>
    <n v="-0.13635008433149665"/>
    <n v="0"/>
    <n v="0"/>
    <n v="2.2740291714460881"/>
    <n v="0"/>
    <n v="0"/>
    <n v="0"/>
    <n v="0.18952902759794821"/>
    <n v="0"/>
    <n v="0"/>
    <m/>
    <n v="0"/>
    <n v="0"/>
    <n v="0"/>
    <n v="0"/>
    <n v="0"/>
    <n v="1.8892299996300738E-2"/>
    <n v="0"/>
    <n v="0"/>
    <m/>
    <m/>
    <m/>
    <n v="35.625775646481848"/>
    <n v="0"/>
    <n v="0"/>
    <n v="-18.34646"/>
    <n v="2.2748399999999975"/>
    <n v="0"/>
    <n v="0"/>
    <n v="-18.41802841484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2"/>
    <s v="Regular"/>
    <s v="Convencional"/>
    <s v="B3"/>
    <s v="Industrial"/>
    <s v="Não se aplica"/>
    <s v="Não se aplica"/>
    <s v="Não se aplica"/>
    <s v="Não se aplica"/>
    <s v="CATIVO"/>
    <x v="6"/>
    <n v="0"/>
    <n v="0"/>
    <n v="1.302"/>
    <n v="1.302"/>
    <n v="1.302"/>
    <n v="1.302"/>
    <m/>
    <n v="395.23"/>
    <n v="297.72000000000003"/>
    <m/>
    <n v="902.22090000000003"/>
    <n v="902.22090000000003"/>
    <n v="799.62329999999997"/>
    <n v="0"/>
    <n v="78.916327053350642"/>
    <n v="0"/>
    <n v="0"/>
    <n v="0"/>
    <n v="129.41554913578503"/>
    <n v="260.58853871752456"/>
    <n v="387.63646178298899"/>
    <n v="0"/>
    <n v="0"/>
    <n v="0"/>
    <n v="0"/>
    <n v="0"/>
    <n v="12.200895401596023"/>
    <m/>
    <n v="1.1592837911901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307572209604579"/>
    <n v="0"/>
    <n v="0"/>
    <n v="0"/>
    <n v="319.92"/>
    <n v="2"/>
    <m/>
    <m/>
    <m/>
    <m/>
    <m/>
    <m/>
    <m/>
    <m/>
    <m/>
    <n v="419.94403399259357"/>
    <m/>
    <m/>
    <m/>
    <m/>
    <m/>
    <m/>
    <m/>
    <m/>
    <m/>
    <m/>
    <m/>
    <m/>
    <n v="798.39499999999998"/>
    <n v="-103.85590000000002"/>
    <m/>
    <m/>
    <m/>
    <m/>
    <n v="-119.23716000000006"/>
    <n v="16.639559999999964"/>
    <n v="31"/>
    <n v="32.112492297796734"/>
    <n v="0"/>
    <n v="0"/>
    <n v="0"/>
    <n v="0"/>
    <n v="0"/>
    <n v="0"/>
    <n v="0"/>
    <n v="-0.99734724606520331"/>
    <n v="0"/>
    <n v="0"/>
    <n v="16.633629107993329"/>
    <n v="0"/>
    <n v="0"/>
    <n v="0"/>
    <n v="1.3863303029917304"/>
    <n v="0"/>
    <n v="13.174835971205766"/>
    <m/>
    <n v="0"/>
    <n v="0"/>
    <n v="0"/>
    <n v="0"/>
    <n v="1.7768544167543876"/>
    <n v="0.1381897449167615"/>
    <n v="0"/>
    <n v="0"/>
    <m/>
    <m/>
    <m/>
    <n v="260.58853871752456"/>
    <n v="0"/>
    <n v="0"/>
    <n v="-119.23716000000007"/>
    <n v="16.63955999999996"/>
    <n v="0"/>
    <n v="0"/>
    <n v="-134.72063480969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3"/>
    <s v="Regular"/>
    <s v="Azul"/>
    <s v="A4"/>
    <s v="Industrial"/>
    <s v="Não se aplica"/>
    <s v="Não se aplica"/>
    <s v="Não se aplica"/>
    <s v="Ponta"/>
    <s v="CATIVO"/>
    <x v="6"/>
    <n v="715"/>
    <n v="715"/>
    <n v="34.512"/>
    <n v="34.512"/>
    <n v="34.512"/>
    <n v="34.512"/>
    <n v="78.569999999999993"/>
    <n v="72.290000000000006"/>
    <n v="297.72000000000003"/>
    <n v="56177.549999999996"/>
    <n v="12769.78512"/>
    <n v="68947.335119999989"/>
    <n v="51816.601280000003"/>
    <n v="0"/>
    <n v="1819.8905091864506"/>
    <n v="0"/>
    <n v="0"/>
    <n v="0"/>
    <n v="21794.517656357159"/>
    <n v="34384.966773572196"/>
    <n v="10275.045751961992"/>
    <n v="0"/>
    <n v="0"/>
    <n v="0"/>
    <n v="0"/>
    <n v="0"/>
    <n v="323.40806612894158"/>
    <m/>
    <n v="20.809141674319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.64058227003596"/>
    <n v="0"/>
    <n v="0"/>
    <n v="0"/>
    <n v="0"/>
    <n v="0"/>
    <m/>
    <m/>
    <m/>
    <m/>
    <m/>
    <m/>
    <m/>
    <m/>
    <m/>
    <n v="10605.686334232028"/>
    <m/>
    <m/>
    <m/>
    <m/>
    <m/>
    <m/>
    <m/>
    <m/>
    <m/>
    <m/>
    <m/>
    <m/>
    <n v="51815.814400000003"/>
    <n v="-17131.550719999985"/>
    <m/>
    <m/>
    <m/>
    <m/>
    <n v="-17571.797199999997"/>
    <n v="441.06335999999908"/>
    <n v="31"/>
    <n v="640.53805491329695"/>
    <n v="0"/>
    <n v="0"/>
    <n v="0"/>
    <n v="0"/>
    <n v="0"/>
    <n v="0"/>
    <n v="0"/>
    <n v="-167.96051408843778"/>
    <n v="0"/>
    <n v="0"/>
    <n v="440.90615036487543"/>
    <n v="0"/>
    <n v="0"/>
    <n v="0"/>
    <n v="14.187914078653989"/>
    <n v="0"/>
    <n v="303.82507447256262"/>
    <m/>
    <n v="0"/>
    <n v="0"/>
    <n v="0"/>
    <n v="0"/>
    <n v="47.098924447793706"/>
    <n v="2.4805056378463242"/>
    <n v="0"/>
    <n v="0"/>
    <m/>
    <m/>
    <n v="34384.966773572196"/>
    <n v="0"/>
    <n v="0"/>
    <n v="0"/>
    <n v="-17571.797199999994"/>
    <n v="441.0633600000001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4"/>
    <s v="Regular"/>
    <s v="Azul"/>
    <s v="A4"/>
    <s v="Industrial"/>
    <s v="Não se aplica"/>
    <s v="Não se aplica"/>
    <s v="Não se aplica"/>
    <s v="Fora ponta"/>
    <s v="CATIVO"/>
    <x v="6"/>
    <n v="727"/>
    <n v="727"/>
    <n v="251.02199999999999"/>
    <n v="251.02199999999999"/>
    <n v="251.02199999999999"/>
    <n v="251.02199999999999"/>
    <n v="25.76"/>
    <n v="72.290000000000006"/>
    <n v="297.72000000000003"/>
    <n v="18727.52"/>
    <n v="92880.65022000001"/>
    <n v="111608.17022000001"/>
    <n v="112371.53567999999"/>
    <n v="0"/>
    <n v="13236.919199032254"/>
    <n v="0"/>
    <n v="0"/>
    <n v="0"/>
    <n v="8956.9143126860799"/>
    <n v="9769.6165012251331"/>
    <n v="74735.238025875151"/>
    <n v="0"/>
    <n v="0"/>
    <n v="0"/>
    <n v="0"/>
    <n v="0"/>
    <n v="2352.2988982330544"/>
    <m/>
    <n v="151.35466971983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4.9043881139592"/>
    <n v="0"/>
    <n v="0"/>
    <n v="0"/>
    <n v="0"/>
    <n v="0"/>
    <m/>
    <m/>
    <m/>
    <m/>
    <m/>
    <m/>
    <m/>
    <m/>
    <m/>
    <n v="77140.142413989117"/>
    <m/>
    <m/>
    <m/>
    <m/>
    <m/>
    <m/>
    <m/>
    <m/>
    <m/>
    <m/>
    <m/>
    <m/>
    <n v="112370.7488"/>
    <n v="762.54857999998785"/>
    <m/>
    <m/>
    <m/>
    <m/>
    <n v="-2444.6957000000039"/>
    <n v="3208.0611599999929"/>
    <n v="31"/>
    <n v="5811.5632680611452"/>
    <n v="0"/>
    <n v="0"/>
    <n v="0"/>
    <n v="0"/>
    <n v="0"/>
    <n v="0"/>
    <n v="0"/>
    <n v="-69.026897329207713"/>
    <n v="0"/>
    <n v="0"/>
    <n v="3206.9177004199009"/>
    <n v="0"/>
    <n v="0"/>
    <n v="0"/>
    <n v="103.19536879496627"/>
    <n v="0"/>
    <n v="2209.8625940035818"/>
    <m/>
    <n v="0"/>
    <n v="0"/>
    <n v="0"/>
    <n v="0"/>
    <n v="342.57261858872471"/>
    <n v="18.041883583201752"/>
    <n v="0"/>
    <n v="0"/>
    <m/>
    <m/>
    <n v="9769.6165012251331"/>
    <n v="0"/>
    <n v="0"/>
    <n v="0"/>
    <n v="-2444.6957000000111"/>
    <n v="3208.0611599999829"/>
    <n v="0"/>
    <n v="0"/>
    <n v="-5050.7552763825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5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7674.1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36"/>
    <s v="Regular"/>
    <s v="Verde"/>
    <s v="A4"/>
    <s v="Industrial"/>
    <s v="Não se aplica"/>
    <s v="Não se aplica"/>
    <s v="Não se aplica"/>
    <s v="Ponta"/>
    <s v="CATIVO"/>
    <x v="6"/>
    <n v="0"/>
    <n v="0"/>
    <n v="49.451000000000001"/>
    <n v="49.451000000000001"/>
    <n v="49.451000000000001"/>
    <n v="49.451000000000001"/>
    <m/>
    <n v="1962.25"/>
    <n v="297.72000000000003"/>
    <m/>
    <n v="111757.77647"/>
    <n v="111757.77647"/>
    <n v="83068.284310000003"/>
    <n v="0"/>
    <n v="2607.6554696853027"/>
    <n v="0"/>
    <n v="0"/>
    <n v="0"/>
    <n v="36266.446070068909"/>
    <n v="57194.359168068782"/>
    <n v="14722.742451329175"/>
    <n v="0"/>
    <n v="0"/>
    <n v="0"/>
    <n v="0"/>
    <n v="0"/>
    <n v="463.39975307551839"/>
    <m/>
    <n v="29.816668548237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.76296458726091"/>
    <n v="0"/>
    <n v="0"/>
    <n v="0"/>
    <n v="0"/>
    <n v="0"/>
    <m/>
    <m/>
    <m/>
    <m/>
    <m/>
    <m/>
    <m/>
    <m/>
    <m/>
    <n v="15196.505415916436"/>
    <m/>
    <m/>
    <m/>
    <m/>
    <m/>
    <m/>
    <m/>
    <m/>
    <m/>
    <m/>
    <m/>
    <m/>
    <n v="83066.604500000001"/>
    <n v="-28691.20196999998"/>
    <m/>
    <m/>
    <m/>
    <m/>
    <n v="-29321.475940000004"/>
    <n v="631.98377999999866"/>
    <n v="31"/>
    <n v="878.97930133014597"/>
    <n v="0"/>
    <n v="0"/>
    <n v="0"/>
    <n v="0"/>
    <n v="0"/>
    <n v="0"/>
    <n v="0"/>
    <n v="-279.48913676978555"/>
    <n v="0"/>
    <n v="0"/>
    <n v="631.75851998416147"/>
    <n v="0"/>
    <n v="0"/>
    <n v="0"/>
    <n v="20.329350344909528"/>
    <n v="0"/>
    <n v="435.33999066245633"/>
    <m/>
    <n v="0"/>
    <n v="0"/>
    <n v="0"/>
    <n v="0"/>
    <n v="67.486350048326642"/>
    <n v="3.5542270600700725"/>
    <n v="0"/>
    <n v="0"/>
    <m/>
    <m/>
    <m/>
    <n v="57194.359168068782"/>
    <n v="0"/>
    <n v="0"/>
    <n v="-29321.475939999989"/>
    <n v="631.98377999999866"/>
    <n v="0"/>
    <n v="0"/>
    <n v="-29568.684841540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7"/>
    <s v="Regular"/>
    <s v="Verde"/>
    <s v="A4"/>
    <s v="Industrial"/>
    <s v="Não se aplica"/>
    <s v="Não se aplica"/>
    <s v="Não se aplica"/>
    <s v="Fora ponta"/>
    <s v="CATIVO"/>
    <x v="6"/>
    <n v="0"/>
    <n v="0"/>
    <n v="658.04"/>
    <n v="658.04"/>
    <n v="658.04"/>
    <n v="658.04"/>
    <m/>
    <n v="72.290000000000006"/>
    <n v="297.72000000000003"/>
    <m/>
    <n v="243481.38040000002"/>
    <n v="243481.38040000002"/>
    <n v="258899.25759999998"/>
    <n v="0"/>
    <n v="34699.836308097234"/>
    <n v="0"/>
    <n v="0"/>
    <n v="0"/>
    <n v="0"/>
    <n v="0"/>
    <n v="195914.20684460679"/>
    <n v="0"/>
    <n v="0"/>
    <n v="0"/>
    <n v="0"/>
    <n v="0"/>
    <n v="6166.4187481307581"/>
    <m/>
    <n v="396.76772100629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04.3210696851665"/>
    <n v="0"/>
    <n v="0"/>
    <n v="0"/>
    <n v="0"/>
    <n v="0"/>
    <m/>
    <m/>
    <m/>
    <m/>
    <m/>
    <m/>
    <m/>
    <m/>
    <m/>
    <n v="202218.52791429195"/>
    <m/>
    <m/>
    <m/>
    <m/>
    <m/>
    <m/>
    <m/>
    <m/>
    <m/>
    <m/>
    <m/>
    <m/>
    <n v="258899.25759999998"/>
    <n v="15417.84719999996"/>
    <m/>
    <m/>
    <m/>
    <m/>
    <n v="7008.1259999999938"/>
    <n v="8409.7511999999824"/>
    <n v="31"/>
    <n v="15415.635093471792"/>
    <n v="0"/>
    <n v="0"/>
    <n v="0"/>
    <n v="0"/>
    <n v="0"/>
    <n v="0"/>
    <n v="0"/>
    <n v="0"/>
    <n v="0"/>
    <n v="0"/>
    <n v="8406.7536852718331"/>
    <n v="0"/>
    <n v="0"/>
    <n v="0"/>
    <n v="270.52083276302255"/>
    <n v="0"/>
    <n v="5793.0300187159592"/>
    <m/>
    <n v="0"/>
    <n v="0"/>
    <n v="0"/>
    <n v="0"/>
    <n v="898.03477757377641"/>
    <n v="47.295779147206588"/>
    <n v="0"/>
    <n v="0"/>
    <m/>
    <m/>
    <m/>
    <n v="0"/>
    <n v="0"/>
    <n v="0"/>
    <n v="7008.1259999999966"/>
    <n v="8409.7511999999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38"/>
    <s v="Regular"/>
    <s v="Verde"/>
    <s v="A4"/>
    <s v="Industrial"/>
    <s v="Não se aplica"/>
    <s v="Não se aplica"/>
    <s v="Não se aplica"/>
    <s v="Não se aplica"/>
    <s v="CATIVO"/>
    <x v="6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9863.46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1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139"/>
    <s v="Regular"/>
    <s v="Convencional"/>
    <s v="B3"/>
    <s v="Comercial"/>
    <s v="Não se aplica"/>
    <s v="Não se aplica"/>
    <s v="Não se aplica"/>
    <s v="Não se aplica"/>
    <s v="CATIVO"/>
    <x v="6"/>
    <n v="0"/>
    <n v="0"/>
    <n v="25.01"/>
    <n v="25.01"/>
    <n v="25.01"/>
    <n v="25.01"/>
    <m/>
    <n v="395.23"/>
    <n v="297.72000000000003"/>
    <m/>
    <n v="17330.679500000002"/>
    <n v="17330.679500000002"/>
    <n v="15359.891500000002"/>
    <n v="0"/>
    <n v="1515.8965741968507"/>
    <n v="0"/>
    <n v="0"/>
    <n v="0"/>
    <n v="2485.93155444392"/>
    <n v="5005.621623137703"/>
    <n v="7446.0736629743124"/>
    <n v="0"/>
    <n v="0"/>
    <n v="0"/>
    <n v="0"/>
    <n v="0"/>
    <n v="234.3658940045442"/>
    <m/>
    <n v="22.268577279312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.59322654547657"/>
    <n v="0"/>
    <n v="0"/>
    <n v="0"/>
    <n v="5883.32"/>
    <n v="47"/>
    <m/>
    <m/>
    <m/>
    <m/>
    <m/>
    <m/>
    <m/>
    <m/>
    <m/>
    <n v="8066.666889519789"/>
    <m/>
    <m/>
    <m/>
    <m/>
    <m/>
    <m/>
    <m/>
    <m/>
    <m/>
    <m/>
    <m/>
    <m/>
    <n v="15359.891500000002"/>
    <n v="-1970.8179999999993"/>
    <m/>
    <m/>
    <m/>
    <m/>
    <n v="-2290.4158000000011"/>
    <n v="319.62779999999935"/>
    <n v="31"/>
    <n v="616.84595419961624"/>
    <n v="0"/>
    <n v="0"/>
    <n v="0"/>
    <n v="0"/>
    <n v="0"/>
    <n v="0"/>
    <n v="0"/>
    <n v="-19.157952860284695"/>
    <n v="0"/>
    <n v="0"/>
    <n v="319.51387403295939"/>
    <n v="0"/>
    <n v="0"/>
    <n v="0"/>
    <n v="26.629893147329653"/>
    <n v="0"/>
    <n v="253.07423013813855"/>
    <m/>
    <n v="0"/>
    <n v="0"/>
    <n v="0"/>
    <n v="0"/>
    <n v="34.131435455474048"/>
    <n v="2.6544742859970825"/>
    <n v="0"/>
    <n v="0"/>
    <m/>
    <m/>
    <m/>
    <n v="5005.621623137703"/>
    <n v="0"/>
    <n v="0"/>
    <n v="-2290.4158000000007"/>
    <n v="319.6277999999993"/>
    <n v="0"/>
    <n v="0"/>
    <n v="-2587.836464355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0"/>
    <s v="Regular"/>
    <s v="Convencional"/>
    <s v="B2"/>
    <s v="Rural"/>
    <s v="Não se aplica"/>
    <s v="Não se aplica"/>
    <s v="Não se aplica"/>
    <s v="Não se aplica"/>
    <s v="CATIVO"/>
    <x v="6"/>
    <n v="0"/>
    <n v="0"/>
    <n v="441.31900000000002"/>
    <n v="441.31900000000002"/>
    <n v="441.31900000000002"/>
    <n v="441.31900000000002"/>
    <m/>
    <n v="395.23"/>
    <n v="297.72000000000003"/>
    <m/>
    <n v="305812.00105000008"/>
    <n v="305812.00105000008"/>
    <n v="271036.06384999998"/>
    <n v="0"/>
    <n v="26749.058785604953"/>
    <n v="0"/>
    <n v="0"/>
    <n v="0"/>
    <n v="43866.006704343716"/>
    <n v="88327.706081627664"/>
    <n v="131391.19483687167"/>
    <n v="0"/>
    <n v="0"/>
    <n v="0"/>
    <n v="0"/>
    <n v="0"/>
    <n v="4135.5506587841437"/>
    <m/>
    <n v="392.94467238420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50.802964647068"/>
    <n v="0"/>
    <n v="0.98"/>
    <n v="4.63"/>
    <n v="76872.69"/>
    <n v="950"/>
    <m/>
    <m/>
    <m/>
    <m/>
    <m/>
    <n v="32525.210299999995"/>
    <m/>
    <m/>
    <m/>
    <n v="142341.99780151874"/>
    <m/>
    <m/>
    <m/>
    <m/>
    <m/>
    <m/>
    <m/>
    <m/>
    <m/>
    <m/>
    <m/>
    <m/>
    <n v="238511.394"/>
    <n v="-30604.962200000038"/>
    <m/>
    <m/>
    <m/>
    <m/>
    <n v="-40415.99402000002"/>
    <n v="5640.056819999988"/>
    <n v="31"/>
    <n v="10884.679714570957"/>
    <n v="0"/>
    <n v="0"/>
    <n v="0"/>
    <n v="0"/>
    <n v="0"/>
    <n v="0"/>
    <n v="0"/>
    <n v="-338.05552172523312"/>
    <n v="0"/>
    <n v="0"/>
    <n v="5638.0465163675253"/>
    <n v="0"/>
    <n v="0"/>
    <n v="0"/>
    <n v="469.90315129493683"/>
    <n v="0"/>
    <n v="4465.6723778621817"/>
    <m/>
    <n v="0"/>
    <n v="0"/>
    <n v="0"/>
    <n v="0"/>
    <n v="602.27312929925483"/>
    <n v="46.840061472288937"/>
    <n v="0"/>
    <n v="0"/>
    <m/>
    <m/>
    <m/>
    <n v="88327.706081627664"/>
    <n v="0"/>
    <n v="0"/>
    <n v="-40415.994020000042"/>
    <n v="5640.0568199999689"/>
    <n v="0"/>
    <n v="0"/>
    <n v="-45664.190348372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39.655999999999999"/>
    <n v="39.655999999999999"/>
    <n v="39.655999999999999"/>
    <n v="39.655999999999999"/>
    <m/>
    <n v="395.23"/>
    <n v="297.72000000000003"/>
    <m/>
    <n v="27479.625200000002"/>
    <n v="27479.625200000002"/>
    <n v="24354.732400000001"/>
    <n v="0"/>
    <n v="2403.6143361195641"/>
    <n v="0"/>
    <n v="0"/>
    <n v="0"/>
    <n v="3941.7073859667366"/>
    <n v="7936.9424664993494"/>
    <n v="11806.537272247473"/>
    <n v="0"/>
    <n v="0"/>
    <n v="0"/>
    <n v="0"/>
    <n v="0"/>
    <n v="371.61191094139161"/>
    <m/>
    <n v="35.3091843497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4.01619319821737"/>
    <n v="0"/>
    <n v="0"/>
    <n v="0"/>
    <n v="15872.61"/>
    <n v="23"/>
    <m/>
    <m/>
    <m/>
    <m/>
    <m/>
    <n v="2922.6471999999994"/>
    <m/>
    <m/>
    <m/>
    <n v="12790.55346544569"/>
    <m/>
    <m/>
    <m/>
    <m/>
    <m/>
    <m/>
    <m/>
    <m/>
    <m/>
    <m/>
    <m/>
    <m/>
    <n v="21434.246999999996"/>
    <n v="-2748.0118000000039"/>
    <m/>
    <m/>
    <m/>
    <m/>
    <n v="-3631.6964800000014"/>
    <n v="506.80367999999891"/>
    <n v="31"/>
    <n v="978.07449659095437"/>
    <n v="0"/>
    <n v="0"/>
    <n v="0"/>
    <n v="0"/>
    <n v="0"/>
    <n v="0"/>
    <n v="0"/>
    <n v="-30.37696036095349"/>
    <n v="0"/>
    <n v="0"/>
    <n v="506.62303833070837"/>
    <n v="0"/>
    <n v="0"/>
    <n v="0"/>
    <n v="42.224511901259689"/>
    <n v="0"/>
    <n v="401.27595643174845"/>
    <m/>
    <n v="0"/>
    <n v="0"/>
    <n v="0"/>
    <n v="0"/>
    <n v="54.11900057666054"/>
    <n v="4.2089497115354035"/>
    <n v="0"/>
    <n v="0"/>
    <m/>
    <m/>
    <m/>
    <n v="7936.9424664993494"/>
    <n v="0"/>
    <n v="0"/>
    <n v="-3631.6964800000005"/>
    <n v="506.80367999999908"/>
    <n v="0"/>
    <n v="0"/>
    <n v="-4103.2883978597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2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0.90500000000000003"/>
    <n v="0.90500000000000003"/>
    <n v="0.90500000000000003"/>
    <n v="0.90500000000000003"/>
    <m/>
    <n v="395.23"/>
    <n v="297.72000000000003"/>
    <m/>
    <n v="627.11975000000007"/>
    <n v="627.11975000000007"/>
    <n v="555.80574999999999"/>
    <n v="0"/>
    <n v="54.85351458009395"/>
    <n v="0"/>
    <n v="0"/>
    <n v="0"/>
    <n v="89.954740374720004"/>
    <n v="181.13105033744986"/>
    <n v="269.4400905634447"/>
    <n v="0"/>
    <n v="0"/>
    <n v="0"/>
    <n v="0"/>
    <n v="0"/>
    <n v="8.48065310172381"/>
    <m/>
    <n v="0.80580017744014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456492204064627"/>
    <n v="0"/>
    <n v="0"/>
    <n v="0"/>
    <n v="222.31"/>
    <n v="17"/>
    <m/>
    <m/>
    <m/>
    <m/>
    <m/>
    <m/>
    <m/>
    <m/>
    <m/>
    <n v="291.8965827675093"/>
    <m/>
    <m/>
    <m/>
    <m/>
    <m/>
    <m/>
    <m/>
    <m/>
    <m/>
    <m/>
    <m/>
    <m/>
    <n v="558.87650000000008"/>
    <n v="-68.273249999999962"/>
    <m/>
    <m/>
    <m/>
    <m/>
    <n v="-82.879900000000035"/>
    <n v="11.565899999999976"/>
    <n v="31"/>
    <n v="22.32089518395253"/>
    <n v="0"/>
    <n v="0"/>
    <n v="0"/>
    <n v="0"/>
    <n v="0"/>
    <n v="0"/>
    <n v="0"/>
    <n v="-0.6932405973033724"/>
    <n v="0"/>
    <n v="0"/>
    <n v="11.561777528981565"/>
    <n v="0"/>
    <n v="0"/>
    <n v="0"/>
    <n v="0.96361668525922894"/>
    <n v="0"/>
    <n v="9.1576240813680769"/>
    <m/>
    <n v="0"/>
    <n v="0"/>
    <n v="0"/>
    <n v="0"/>
    <n v="1.2350639379129973"/>
    <n v="9.6053547734000766E-2"/>
    <n v="0"/>
    <n v="0"/>
    <m/>
    <m/>
    <m/>
    <n v="181.13105033744986"/>
    <n v="0"/>
    <n v="0"/>
    <n v="-82.879900000000021"/>
    <n v="11.565899999999942"/>
    <n v="0"/>
    <n v="0"/>
    <n v="-93.64222312041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3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1.184000000000001"/>
    <n v="21.184000000000001"/>
    <n v="21.184000000000001"/>
    <n v="21.184000000000001"/>
    <m/>
    <n v="217.38"/>
    <n v="163.75"/>
    <m/>
    <n v="8073.8579200000004"/>
    <n v="8073.8579200000004"/>
    <n v="7155.5315200000005"/>
    <n v="0"/>
    <n v="706.19808737634344"/>
    <n v="0"/>
    <n v="0"/>
    <n v="0"/>
    <n v="1158.1001890098757"/>
    <n v="2331.9271753499429"/>
    <n v="3468.8402024008897"/>
    <n v="0"/>
    <n v="0"/>
    <n v="0"/>
    <n v="0"/>
    <n v="0"/>
    <n v="109.18208333569545"/>
    <m/>
    <n v="10.374076273359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11058780994239"/>
    <n v="0"/>
    <n v="0"/>
    <n v="0"/>
    <n v="3387.88"/>
    <n v="1"/>
    <m/>
    <m/>
    <m/>
    <m/>
    <m/>
    <m/>
    <m/>
    <m/>
    <m/>
    <n v="3757.9507902108321"/>
    <m/>
    <m/>
    <m/>
    <m/>
    <m/>
    <m/>
    <m/>
    <m/>
    <m/>
    <m/>
    <m/>
    <m/>
    <n v="7154.1804000000002"/>
    <n v="-919.70752000000084"/>
    <m/>
    <m/>
    <m/>
    <m/>
    <n v="-1067.03808"/>
    <n v="148.71168000000023"/>
    <n v="31"/>
    <n v="287.36487731190209"/>
    <n v="0"/>
    <n v="0"/>
    <n v="0"/>
    <n v="0"/>
    <n v="0"/>
    <n v="0"/>
    <n v="0"/>
    <n v="-8.9249556323763954"/>
    <n v="0"/>
    <n v="0"/>
    <n v="148.84926226041398"/>
    <n v="0"/>
    <n v="0"/>
    <n v="0"/>
    <n v="12.40584610308548"/>
    <n v="0"/>
    <n v="117.89757977550823"/>
    <m/>
    <n v="0"/>
    <n v="0"/>
    <n v="0"/>
    <n v="0"/>
    <n v="15.900527020345152"/>
    <n v="1.2366177849264073"/>
    <n v="0"/>
    <n v="0"/>
    <m/>
    <m/>
    <m/>
    <n v="2331.9271753499429"/>
    <n v="0"/>
    <n v="0"/>
    <n v="-1067.0380800000003"/>
    <n v="148.71168000000034"/>
    <n v="0"/>
    <n v="0"/>
    <n v="-1205.5737790282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4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0.63300000000000001"/>
    <n v="0.59501999999999999"/>
    <n v="0.63300000000000001"/>
    <n v="0.59501999999999999"/>
    <m/>
    <n v="395.23"/>
    <n v="297.72000000000003"/>
    <m/>
    <n v="438.63735000000008"/>
    <n v="438.63735000000008"/>
    <n v="388.75694999999996"/>
    <n v="0"/>
    <n v="38.367154396905491"/>
    <n v="0"/>
    <n v="0"/>
    <n v="0"/>
    <n v="62.918619510715764"/>
    <n v="126.69166283271353"/>
    <n v="188.4592014659232"/>
    <n v="0"/>
    <n v="0"/>
    <n v="0"/>
    <n v="0"/>
    <n v="0"/>
    <n v="5.9317717275040573"/>
    <m/>
    <n v="0.56361493073990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707137641075036"/>
    <n v="0"/>
    <n v="0"/>
    <n v="0"/>
    <n v="155.52000000000001"/>
    <n v="2"/>
    <m/>
    <m/>
    <m/>
    <m/>
    <n v="23.325417000000009"/>
    <m/>
    <m/>
    <m/>
    <m/>
    <n v="204.16633910699824"/>
    <m/>
    <m/>
    <m/>
    <m/>
    <m/>
    <m/>
    <m/>
    <m/>
    <m/>
    <m/>
    <m/>
    <m/>
    <n v="368.48999999999995"/>
    <n v="-43.859109000000046"/>
    <m/>
    <m/>
    <m/>
    <m/>
    <n v="-57.970140000000029"/>
    <n v="8.0897399999999831"/>
    <n v="31"/>
    <n v="15.612294642477252"/>
    <n v="0"/>
    <n v="0"/>
    <n v="0"/>
    <n v="0"/>
    <n v="0"/>
    <n v="0"/>
    <n v="0"/>
    <n v="-0.48488541225750481"/>
    <n v="0"/>
    <n v="0"/>
    <n v="8.086856547895394"/>
    <n v="0"/>
    <n v="0"/>
    <n v="0"/>
    <n v="0.67399929477247866"/>
    <n v="0"/>
    <n v="6.405277396139212"/>
    <m/>
    <n v="0"/>
    <n v="0"/>
    <n v="0"/>
    <n v="0"/>
    <n v="0.86386240077229459"/>
    <n v="6.7184415155383981E-2"/>
    <n v="0"/>
    <n v="0"/>
    <m/>
    <m/>
    <m/>
    <n v="126.69166283271353"/>
    <n v="0"/>
    <n v="0"/>
    <n v="-57.970140000000043"/>
    <n v="8.0897399999999777"/>
    <n v="0"/>
    <n v="0"/>
    <n v="-65.497820149415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5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.050000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46"/>
    <s v="Regular"/>
    <s v="Convencional"/>
    <s v="B2"/>
    <s v="Rural"/>
    <s v="Agropecuária rural"/>
    <s v="IRRIG./AQUIC."/>
    <s v="Não se aplica"/>
    <s v="Não se aplica"/>
    <s v="CATIVO"/>
    <x v="6"/>
    <n v="0"/>
    <n v="0"/>
    <n v="9.7000000000000003E-2"/>
    <n v="9.7000000000000003E-2"/>
    <n v="9.7000000000000003E-2"/>
    <n v="9.7000000000000003E-2"/>
    <m/>
    <n v="395.23"/>
    <n v="297.72000000000003"/>
    <m/>
    <n v="67.216149999999999"/>
    <n v="67.216149999999999"/>
    <n v="59.57255"/>
    <n v="0"/>
    <n v="5.8793269770929433"/>
    <n v="0"/>
    <n v="0"/>
    <n v="0"/>
    <n v="9.6415578081191615"/>
    <n v="19.414046279262582"/>
    <n v="28.879214126689654"/>
    <n v="0"/>
    <n v="0"/>
    <n v="0"/>
    <n v="0"/>
    <n v="0"/>
    <n v="0.908976078306309"/>
    <m/>
    <n v="8.636753283060115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069389434190813"/>
    <n v="0"/>
    <n v="0"/>
    <n v="0"/>
    <n v="0"/>
    <n v="0"/>
    <m/>
    <m/>
    <m/>
    <m/>
    <m/>
    <n v="8.3274499999999971"/>
    <m/>
    <m/>
    <m/>
    <n v="31.286153070108735"/>
    <m/>
    <m/>
    <m/>
    <m/>
    <m/>
    <m/>
    <m/>
    <m/>
    <m/>
    <m/>
    <m/>
    <m/>
    <n v="52.83"/>
    <n v="-4.8170300000000026"/>
    <m/>
    <m/>
    <m/>
    <m/>
    <n v="-8.8832600000000035"/>
    <n v="1.2396599999999973"/>
    <n v="31"/>
    <n v="2.3924053401584544"/>
    <n v="0"/>
    <n v="0"/>
    <n v="0"/>
    <n v="0"/>
    <n v="0"/>
    <n v="0"/>
    <n v="0"/>
    <n v="-7.4303135843566182E-2"/>
    <n v="0"/>
    <n v="0"/>
    <n v="1.2392181439902892"/>
    <n v="0"/>
    <n v="0"/>
    <n v="0"/>
    <n v="0.10328267234270205"/>
    <n v="0"/>
    <n v="0.98153539877646701"/>
    <m/>
    <n v="0"/>
    <n v="0"/>
    <n v="0"/>
    <n v="0"/>
    <n v="0.13237701875973551"/>
    <n v="1.0295242132815546E-2"/>
    <n v="0"/>
    <n v="0"/>
    <m/>
    <m/>
    <m/>
    <n v="19.414046279262582"/>
    <n v="0"/>
    <n v="0"/>
    <n v="-8.8832600000000035"/>
    <n v="1.2396599999999971"/>
    <n v="0"/>
    <n v="0"/>
    <n v="-10.036790765392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7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3.0000000000000001E-3"/>
    <n v="1.1999999999999999E-3"/>
    <n v="3.0000000000000001E-3"/>
    <n v="1.1999999999999999E-3"/>
    <m/>
    <n v="395.23"/>
    <n v="297.72000000000003"/>
    <m/>
    <n v="2.0788500000000001"/>
    <n v="2.0788500000000001"/>
    <n v="1.8424499999999999"/>
    <n v="0"/>
    <n v="0.1818348549616374"/>
    <n v="0"/>
    <n v="0"/>
    <n v="0"/>
    <n v="0.29819250952945858"/>
    <n v="0.60043442100812106"/>
    <n v="0.89317157092854604"/>
    <n v="0"/>
    <n v="0"/>
    <n v="0"/>
    <n v="0"/>
    <n v="0"/>
    <n v="2.8112662215659039E-2"/>
    <m/>
    <n v="2.67116080919385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9E-2"/>
    <n v="0"/>
    <n v="0"/>
    <n v="0"/>
    <n v="0"/>
    <n v="0"/>
    <m/>
    <m/>
    <m/>
    <m/>
    <m/>
    <m/>
    <n v="1.2084900000000001"/>
    <m/>
    <m/>
    <n v="0.96761298154975472"/>
    <m/>
    <m/>
    <m/>
    <m/>
    <m/>
    <m/>
    <m/>
    <m/>
    <m/>
    <m/>
    <m/>
    <m/>
    <n v="0"/>
    <n v="-0.742788"/>
    <m/>
    <m/>
    <m/>
    <m/>
    <n v="-0.27474000000000015"/>
    <n v="3.8339999999999916E-2"/>
    <n v="31"/>
    <n v="7.399191773685887E-2"/>
    <n v="0"/>
    <n v="0"/>
    <n v="0"/>
    <n v="0"/>
    <n v="0"/>
    <n v="0"/>
    <n v="0"/>
    <n v="-2.2980351291824741E-3"/>
    <n v="0"/>
    <n v="0"/>
    <n v="3.8326334350215041E-2"/>
    <n v="0"/>
    <n v="0"/>
    <n v="0"/>
    <n v="3.1943094538979949E-3"/>
    <n v="0"/>
    <n v="3.0356764910612399E-2"/>
    <m/>
    <n v="0"/>
    <n v="0"/>
    <n v="0"/>
    <n v="0"/>
    <n v="4.094134600816559E-3"/>
    <n v="3.1840955049945024E-4"/>
    <n v="0"/>
    <n v="0"/>
    <m/>
    <m/>
    <m/>
    <n v="0.60043442100812106"/>
    <n v="0"/>
    <n v="0"/>
    <n v="-0.27474000000000021"/>
    <n v="3.833999999999993E-2"/>
    <n v="0"/>
    <n v="0"/>
    <n v="-0.31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8"/>
    <s v="Regular"/>
    <s v="Convencional"/>
    <s v="B1"/>
    <s v="Residencial"/>
    <s v="Residencial"/>
    <s v="Não se aplica"/>
    <s v="Não se aplica"/>
    <s v="Não se aplica"/>
    <s v="CATIVO"/>
    <x v="7"/>
    <n v="0"/>
    <n v="0"/>
    <n v="31.923999999999999"/>
    <n v="31.923999999999999"/>
    <n v="31.923999999999999"/>
    <n v="31.923999999999999"/>
    <m/>
    <n v="395.23"/>
    <n v="297.72000000000003"/>
    <m/>
    <n v="22121.735800000002"/>
    <n v="22121.735800000002"/>
    <n v="19606.124599999999"/>
    <n v="0"/>
    <n v="1934.9653032651042"/>
    <n v="0"/>
    <n v="0"/>
    <n v="0"/>
    <n v="3173.1658914061454"/>
    <n v="6389.4228187544186"/>
    <n v="9504.5364101076339"/>
    <n v="0"/>
    <n v="0"/>
    <n v="0"/>
    <n v="0"/>
    <n v="0"/>
    <n v="299.15620952423308"/>
    <m/>
    <n v="28.424712557568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2.15586422382216"/>
    <n v="0"/>
    <n v="0"/>
    <n v="0"/>
    <n v="3797.61"/>
    <n v="256"/>
    <m/>
    <m/>
    <m/>
    <m/>
    <m/>
    <m/>
    <m/>
    <m/>
    <m/>
    <n v="10296.692274331455"/>
    <m/>
    <m/>
    <m/>
    <m/>
    <m/>
    <m/>
    <m/>
    <m/>
    <m/>
    <m/>
    <m/>
    <m/>
    <n v="19603.667999999998"/>
    <n v="-2518.0977999999996"/>
    <m/>
    <m/>
    <m/>
    <m/>
    <n v="-2923.5999200000015"/>
    <n v="407.98871999999915"/>
    <n v="30"/>
    <n v="787.37266061049377"/>
    <n v="0"/>
    <n v="0"/>
    <n v="0"/>
    <n v="0"/>
    <n v="0"/>
    <n v="0"/>
    <n v="0"/>
    <n v="-24.454157821340686"/>
    <n v="0"/>
    <n v="0"/>
    <n v="407.84329926542159"/>
    <n v="0"/>
    <n v="0"/>
    <n v="0"/>
    <n v="33.991711668746575"/>
    <n v="0"/>
    <n v="323.0364543354633"/>
    <m/>
    <n v="0"/>
    <n v="0"/>
    <n v="0"/>
    <n v="0"/>
    <n v="43.567050998822594"/>
    <n v="3.3883021633814856"/>
    <n v="0"/>
    <n v="0"/>
    <m/>
    <m/>
    <m/>
    <n v="6389.4228187544186"/>
    <n v="0"/>
    <n v="0"/>
    <n v="-2923.5999200000006"/>
    <n v="407.98871999999938"/>
    <n v="0"/>
    <n v="0"/>
    <n v="-3303.242354581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49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39.21"/>
    <n v="1"/>
    <m/>
    <m/>
    <m/>
    <m/>
    <m/>
    <m/>
    <m/>
    <m/>
    <m/>
    <n v="32.253766051658488"/>
    <m/>
    <m/>
    <m/>
    <m/>
    <m/>
    <m/>
    <m/>
    <m/>
    <m/>
    <m/>
    <m/>
    <m/>
    <n v="61.414999999999999"/>
    <n v="-7.9100000000000037"/>
    <m/>
    <m/>
    <m/>
    <m/>
    <n v="-9.1580000000000048"/>
    <n v="1.2779999999999974"/>
    <n v="30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0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3"/>
    <n v="0.3"/>
    <n v="0.3"/>
    <n v="0.3"/>
    <m/>
    <n v="325.25"/>
    <n v="297.72000000000003"/>
    <m/>
    <n v="186.89100000000002"/>
    <n v="186.89100000000002"/>
    <n v="159.80399999999997"/>
    <n v="0"/>
    <n v="0"/>
    <n v="0"/>
    <n v="0"/>
    <n v="0"/>
    <n v="29.819250952945858"/>
    <n v="60.043442100812101"/>
    <n v="89.3171570928546"/>
    <n v="0"/>
    <n v="0"/>
    <n v="0"/>
    <n v="0"/>
    <n v="0"/>
    <n v="0"/>
    <m/>
    <n v="0.2671160809193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3"/>
    <n v="0"/>
    <n v="0"/>
    <n v="0"/>
    <n v="7.3"/>
    <n v="2"/>
    <m/>
    <m/>
    <m/>
    <m/>
    <m/>
    <m/>
    <m/>
    <n v="103.875"/>
    <m/>
    <n v="96.761298154975464"/>
    <m/>
    <m/>
    <m/>
    <m/>
    <m/>
    <m/>
    <m/>
    <m/>
    <m/>
    <m/>
    <m/>
    <m/>
    <n v="55.929000000000002"/>
    <n v="-9.512999999999991"/>
    <m/>
    <m/>
    <m/>
    <m/>
    <n v="-30.920999999999996"/>
    <n v="3.8339999999999916"/>
    <n v="30"/>
    <n v="3.9541018225430093"/>
    <n v="0"/>
    <n v="0"/>
    <n v="0"/>
    <n v="0"/>
    <n v="0"/>
    <n v="0"/>
    <n v="0"/>
    <n v="-0.22980351291824874"/>
    <n v="0"/>
    <n v="0"/>
    <n v="3.8326334350215063"/>
    <n v="0"/>
    <n v="0"/>
    <n v="0"/>
    <n v="0.31943094538979899"/>
    <n v="0"/>
    <n v="0"/>
    <m/>
    <n v="0"/>
    <n v="0"/>
    <n v="0"/>
    <n v="0"/>
    <n v="0"/>
    <n v="3.1840955049944997E-2"/>
    <n v="0"/>
    <n v="0"/>
    <m/>
    <m/>
    <m/>
    <n v="60.043442100812101"/>
    <n v="0"/>
    <n v="0"/>
    <n v="-30.921000000000006"/>
    <n v="3.833999999999989"/>
    <n v="0"/>
    <n v="0"/>
    <n v="-31.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1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0.49199999999999999"/>
    <n v="0.49199999999999999"/>
    <n v="0.49199999999999999"/>
    <n v="0.49199999999999999"/>
    <m/>
    <n v="325.25"/>
    <n v="297.72000000000003"/>
    <m/>
    <n v="306.50124"/>
    <n v="306.50124"/>
    <n v="262.07855999999998"/>
    <n v="0"/>
    <n v="0"/>
    <n v="0"/>
    <n v="0"/>
    <n v="0"/>
    <n v="48.90357156283121"/>
    <n v="98.471245045331855"/>
    <n v="146.48013763228153"/>
    <n v="0"/>
    <n v="0"/>
    <n v="0"/>
    <n v="0"/>
    <n v="0"/>
    <n v="0"/>
    <m/>
    <n v="0.43807037270779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08391341878228"/>
    <n v="0"/>
    <n v="0"/>
    <n v="0"/>
    <n v="20.81"/>
    <n v="1"/>
    <m/>
    <m/>
    <m/>
    <m/>
    <m/>
    <m/>
    <m/>
    <n v="104.83044"/>
    <m/>
    <n v="158.68852897415977"/>
    <m/>
    <m/>
    <m/>
    <m/>
    <m/>
    <m/>
    <m/>
    <m/>
    <m/>
    <m/>
    <m/>
    <m/>
    <n v="156.60890000000001"/>
    <n v="-27.320859999999982"/>
    <m/>
    <m/>
    <m/>
    <m/>
    <n v="-50.710439999999998"/>
    <n v="6.2877599999999862"/>
    <n v="30"/>
    <n v="6.4847269889705217"/>
    <n v="0"/>
    <n v="0"/>
    <n v="0"/>
    <n v="0"/>
    <n v="0"/>
    <n v="0"/>
    <n v="0"/>
    <n v="-0.37687776118593064"/>
    <n v="0"/>
    <n v="0"/>
    <n v="6.2855188334352761"/>
    <n v="0"/>
    <n v="0"/>
    <n v="0"/>
    <n v="0.52386675043927156"/>
    <n v="0"/>
    <n v="0"/>
    <m/>
    <n v="0"/>
    <n v="0"/>
    <n v="0"/>
    <n v="0"/>
    <n v="0"/>
    <n v="5.2219166281909868E-2"/>
    <n v="0"/>
    <n v="0"/>
    <m/>
    <m/>
    <m/>
    <n v="98.471245045331855"/>
    <n v="0"/>
    <n v="0"/>
    <n v="-50.710439999999991"/>
    <n v="6.2877599999999916"/>
    <n v="0"/>
    <n v="0"/>
    <n v="-50.908258315185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.66600000000000004"/>
    <n v="0.66600000000000004"/>
    <n v="0.66600000000000004"/>
    <n v="0.66600000000000004"/>
    <m/>
    <n v="325.25"/>
    <n v="297.72000000000003"/>
    <m/>
    <n v="414.89802000000003"/>
    <n v="414.89802000000003"/>
    <n v="354.76488000000001"/>
    <n v="0"/>
    <n v="0"/>
    <n v="0"/>
    <n v="0"/>
    <n v="0"/>
    <n v="66.198737115539814"/>
    <n v="133.29644146380286"/>
    <n v="198.28408874613723"/>
    <n v="0"/>
    <n v="0"/>
    <n v="0"/>
    <n v="0"/>
    <n v="0"/>
    <n v="0"/>
    <m/>
    <n v="0.59299769964103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525993157908331"/>
    <n v="0"/>
    <n v="0"/>
    <n v="0"/>
    <n v="74.760000000000005"/>
    <n v="5"/>
    <m/>
    <m/>
    <m/>
    <m/>
    <m/>
    <m/>
    <m/>
    <n v="35.477820000000008"/>
    <m/>
    <n v="214.81008190404555"/>
    <m/>
    <m/>
    <m/>
    <m/>
    <m/>
    <m/>
    <m/>
    <m/>
    <m/>
    <m/>
    <m/>
    <m/>
    <n v="321.2047"/>
    <n v="-52.231519999999989"/>
    <m/>
    <m/>
    <m/>
    <m/>
    <n v="-68.644620000000003"/>
    <n v="8.5114799999999828"/>
    <n v="30"/>
    <n v="8.7781060460454796"/>
    <n v="0"/>
    <n v="0"/>
    <n v="0"/>
    <n v="0"/>
    <n v="0"/>
    <n v="0"/>
    <n v="0"/>
    <n v="-0.51016379867851924"/>
    <n v="0"/>
    <n v="0"/>
    <n v="8.5084462257477469"/>
    <n v="0"/>
    <n v="0"/>
    <n v="0"/>
    <n v="0.70913669876535579"/>
    <n v="0"/>
    <n v="0"/>
    <m/>
    <n v="0"/>
    <n v="0"/>
    <n v="0"/>
    <n v="0"/>
    <n v="0"/>
    <n v="7.0686920210877968E-2"/>
    <n v="0"/>
    <n v="0"/>
    <m/>
    <m/>
    <m/>
    <n v="133.29644146380286"/>
    <n v="0"/>
    <n v="0"/>
    <n v="-68.644620000000003"/>
    <n v="8.5114799999999775"/>
    <n v="0"/>
    <n v="0"/>
    <n v="-68.912398451044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13900000000000001"/>
    <n v="0.13900000000000001"/>
    <n v="0.13900000000000001"/>
    <n v="0.13900000000000001"/>
    <m/>
    <n v="325.25"/>
    <n v="297.72000000000003"/>
    <m/>
    <n v="86.592830000000021"/>
    <n v="86.592830000000021"/>
    <n v="74.04252000000001"/>
    <n v="0"/>
    <n v="0"/>
    <n v="0"/>
    <n v="0"/>
    <n v="0"/>
    <n v="13.816252941531582"/>
    <n v="27.820128173376276"/>
    <n v="41.3836161196893"/>
    <n v="0"/>
    <n v="0"/>
    <n v="0"/>
    <n v="0"/>
    <n v="0"/>
    <n v="0"/>
    <m/>
    <n v="0.123763784159315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491186921160035"/>
    <n v="0"/>
    <n v="0"/>
    <n v="0"/>
    <n v="23.91"/>
    <n v="2"/>
    <m/>
    <m/>
    <m/>
    <m/>
    <m/>
    <m/>
    <m/>
    <m/>
    <m/>
    <n v="44.832734811805302"/>
    <m/>
    <m/>
    <m/>
    <m/>
    <m/>
    <m/>
    <m/>
    <m/>
    <m/>
    <m/>
    <m/>
    <m/>
    <n v="74.575200000000009"/>
    <n v="-12.047629999999998"/>
    <m/>
    <m/>
    <m/>
    <m/>
    <n v="-14.32673"/>
    <n v="1.7764199999999963"/>
    <n v="30"/>
    <n v="1.8320671777782565"/>
    <n v="0"/>
    <n v="0"/>
    <n v="0"/>
    <n v="0"/>
    <n v="0"/>
    <n v="0"/>
    <n v="0"/>
    <n v="-0.10647562765212015"/>
    <n v="0"/>
    <n v="0"/>
    <n v="1.7757868248932951"/>
    <n v="0"/>
    <n v="0"/>
    <n v="0"/>
    <n v="0.14800300469727379"/>
    <n v="0"/>
    <n v="0"/>
    <m/>
    <n v="0"/>
    <n v="0"/>
    <n v="0"/>
    <n v="0"/>
    <n v="0"/>
    <n v="1.475297583980785E-2"/>
    <n v="0"/>
    <n v="0"/>
    <m/>
    <m/>
    <m/>
    <n v="27.820128173376276"/>
    <n v="0"/>
    <n v="0"/>
    <n v="-14.326730000000001"/>
    <n v="1.7764199999999946"/>
    <n v="0"/>
    <n v="0"/>
    <n v="-14.382617694737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4"/>
    <s v="Regular"/>
    <s v="Convencional"/>
    <s v="B3"/>
    <s v="Industrial"/>
    <s v="Não se aplica"/>
    <s v="Não se aplica"/>
    <s v="Não se aplica"/>
    <s v="Não se aplica"/>
    <s v="CATIVO"/>
    <x v="7"/>
    <n v="0"/>
    <n v="0"/>
    <n v="1.607"/>
    <n v="1.607"/>
    <n v="1.607"/>
    <n v="1.607"/>
    <m/>
    <n v="395.23"/>
    <n v="297.72000000000003"/>
    <m/>
    <n v="1113.5706500000001"/>
    <n v="1113.5706500000001"/>
    <n v="986.93904999999995"/>
    <n v="0"/>
    <n v="97.402870641117104"/>
    <n v="0"/>
    <n v="0"/>
    <n v="0"/>
    <n v="159.73178760461332"/>
    <n v="321.63270485335016"/>
    <n v="478.44223816072446"/>
    <n v="0"/>
    <n v="0"/>
    <n v="0"/>
    <n v="0"/>
    <n v="0"/>
    <n v="15.059016060188025"/>
    <m/>
    <n v="1.4308518067915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875782289427463"/>
    <n v="0"/>
    <n v="0"/>
    <n v="0"/>
    <n v="359.56"/>
    <n v="2"/>
    <m/>
    <m/>
    <m/>
    <m/>
    <m/>
    <m/>
    <m/>
    <m/>
    <m/>
    <n v="518.31802045015195"/>
    <m/>
    <m/>
    <m/>
    <m/>
    <m/>
    <m/>
    <m/>
    <m/>
    <m/>
    <m/>
    <m/>
    <m/>
    <n v="988.78150000000005"/>
    <n v="-124.81915000000004"/>
    <m/>
    <m/>
    <m/>
    <m/>
    <n v="-147.16906000000006"/>
    <n v="20.537459999999957"/>
    <n v="30"/>
    <n v="39.635003934377664"/>
    <n v="0"/>
    <n v="0"/>
    <n v="0"/>
    <n v="0"/>
    <n v="0"/>
    <n v="0"/>
    <n v="0"/>
    <n v="-1.2309808175320711"/>
    <n v="0"/>
    <n v="0"/>
    <n v="20.530139766931882"/>
    <n v="0"/>
    <n v="0"/>
    <n v="0"/>
    <n v="1.7110850974713614"/>
    <n v="0"/>
    <n v="16.261107070451359"/>
    <m/>
    <n v="0"/>
    <n v="0"/>
    <n v="0"/>
    <n v="0"/>
    <n v="2.1930914345040726"/>
    <n v="0.17056138255087228"/>
    <n v="0"/>
    <n v="0"/>
    <m/>
    <m/>
    <m/>
    <n v="321.63270485335016"/>
    <n v="0"/>
    <n v="0"/>
    <n v="-147.16906000000012"/>
    <n v="20.537459999999953"/>
    <n v="0"/>
    <n v="0"/>
    <n v="-166.2796160823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5"/>
    <s v="Regular"/>
    <s v="Azul"/>
    <s v="A4"/>
    <s v="Industrial"/>
    <s v="Não se aplica"/>
    <s v="Não se aplica"/>
    <s v="Não se aplica"/>
    <s v="Ponta"/>
    <s v="CATIVO"/>
    <x v="7"/>
    <n v="715"/>
    <n v="715"/>
    <n v="29.952000000000002"/>
    <n v="29.952000000000002"/>
    <n v="29.952000000000002"/>
    <n v="29.952000000000002"/>
    <n v="78.569999999999993"/>
    <n v="72.290000000000006"/>
    <n v="297.72000000000003"/>
    <n v="56177.549999999996"/>
    <n v="11082.539520000002"/>
    <n v="67260.089519999994"/>
    <n v="50022.514880000002"/>
    <n v="0"/>
    <n v="1579.432096985181"/>
    <n v="0"/>
    <n v="0"/>
    <n v="0"/>
    <n v="21794.517656357159"/>
    <n v="34384.966773572196"/>
    <n v="8917.424964150603"/>
    <n v="0"/>
    <n v="0"/>
    <n v="0"/>
    <n v="0"/>
    <n v="0"/>
    <n v="280.67681956113984"/>
    <m/>
    <n v="18.059672329312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.95371813143595"/>
    <n v="0"/>
    <n v="0"/>
    <n v="0"/>
    <n v="0"/>
    <n v="0"/>
    <m/>
    <m/>
    <m/>
    <m/>
    <m/>
    <m/>
    <m/>
    <m/>
    <m/>
    <n v="9204.3786822820384"/>
    <m/>
    <m/>
    <m/>
    <m/>
    <m/>
    <m/>
    <m/>
    <m/>
    <m/>
    <m/>
    <m/>
    <m/>
    <n v="50021.727999999996"/>
    <n v="-17238.391519999997"/>
    <m/>
    <m/>
    <m/>
    <m/>
    <n v="-17620.361199999999"/>
    <n v="382.78655999999921"/>
    <n v="30"/>
    <n v="533.71279197147669"/>
    <n v="0"/>
    <n v="0"/>
    <n v="0"/>
    <n v="0"/>
    <n v="0"/>
    <n v="0"/>
    <n v="0"/>
    <n v="-167.96051408843778"/>
    <n v="0"/>
    <n v="0"/>
    <n v="382.65012215254683"/>
    <n v="0"/>
    <n v="0"/>
    <n v="0"/>
    <n v="12.313293998720553"/>
    <n v="0"/>
    <n v="263.68128855476925"/>
    <m/>
    <n v="0"/>
    <n v="0"/>
    <n v="0"/>
    <n v="0"/>
    <n v="40.875839854552567"/>
    <n v="2.1527614993269886"/>
    <n v="0"/>
    <n v="0"/>
    <m/>
    <m/>
    <n v="34384.966773572196"/>
    <n v="0"/>
    <n v="0"/>
    <n v="0"/>
    <n v="-17620.361199999999"/>
    <n v="382.78656000000046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6"/>
    <s v="Regular"/>
    <s v="Azul"/>
    <s v="A4"/>
    <s v="Industrial"/>
    <s v="Não se aplica"/>
    <s v="Não se aplica"/>
    <s v="Não se aplica"/>
    <s v="Fora ponta"/>
    <s v="CATIVO"/>
    <x v="7"/>
    <n v="715"/>
    <n v="715"/>
    <n v="230.482"/>
    <n v="230.482"/>
    <n v="230.482"/>
    <n v="230.482"/>
    <n v="25.76"/>
    <n v="72.290000000000006"/>
    <n v="297.72000000000003"/>
    <n v="18418.400000000001"/>
    <n v="85280.644820000016"/>
    <n v="103699.04482000001"/>
    <n v="104065.63807999999"/>
    <n v="0"/>
    <n v="12153.801701967765"/>
    <n v="0"/>
    <n v="0"/>
    <n v="0"/>
    <n v="8809.0697848288128"/>
    <n v="9608.3573567757503"/>
    <n v="68619.990003584375"/>
    <n v="0"/>
    <n v="0"/>
    <n v="0"/>
    <n v="0"/>
    <n v="0"/>
    <n v="2159.8208709298424"/>
    <m/>
    <n v="138.96999859123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8.1218904370198"/>
    <n v="0"/>
    <n v="0"/>
    <n v="0"/>
    <n v="0"/>
    <n v="0"/>
    <m/>
    <m/>
    <m/>
    <m/>
    <m/>
    <m/>
    <m/>
    <m/>
    <m/>
    <n v="70828.111894021393"/>
    <m/>
    <m/>
    <m/>
    <m/>
    <m/>
    <m/>
    <m/>
    <m/>
    <m/>
    <m/>
    <m/>
    <m/>
    <n v="104064.85119999999"/>
    <n v="365.7763799999957"/>
    <m/>
    <m/>
    <m/>
    <m/>
    <n v="-2578.966700000004"/>
    <n v="2945.5599599999937"/>
    <n v="30"/>
    <n v="5331.5204240380845"/>
    <n v="0"/>
    <n v="0"/>
    <n v="0"/>
    <n v="0"/>
    <n v="0"/>
    <n v="0"/>
    <n v="0"/>
    <n v="-67.88752625912457"/>
    <n v="0"/>
    <n v="0"/>
    <n v="2944.5100645687635"/>
    <n v="0"/>
    <n v="0"/>
    <n v="0"/>
    <n v="94.751356417371426"/>
    <n v="0"/>
    <n v="2029.0394881370303"/>
    <m/>
    <n v="0"/>
    <n v="0"/>
    <n v="0"/>
    <n v="0"/>
    <n v="314.54144368846755"/>
    <n v="16.565597485573022"/>
    <n v="0"/>
    <n v="0"/>
    <m/>
    <m/>
    <n v="9608.3573567757503"/>
    <n v="0"/>
    <n v="0"/>
    <n v="0"/>
    <n v="-2578.9667000000045"/>
    <n v="2945.5599599999841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7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7063.1999999999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58"/>
    <s v="Regular"/>
    <s v="Verde"/>
    <s v="A4"/>
    <s v="Industrial"/>
    <s v="Não se aplica"/>
    <s v="Não se aplica"/>
    <s v="Não se aplica"/>
    <s v="Ponta"/>
    <s v="CATIVO"/>
    <x v="7"/>
    <n v="0"/>
    <n v="0"/>
    <n v="44.747999999999998"/>
    <n v="44.747999999999998"/>
    <n v="44.747999999999998"/>
    <n v="44.747999999999998"/>
    <m/>
    <n v="1962.25"/>
    <n v="297.72000000000003"/>
    <m/>
    <n v="101129.13755999999"/>
    <n v="101129.13755999999"/>
    <n v="75168.137879999995"/>
    <n v="0"/>
    <n v="2359.6563660487736"/>
    <n v="0"/>
    <n v="0"/>
    <n v="0"/>
    <n v="32817.353112039054"/>
    <n v="51754.932843678427"/>
    <n v="13322.547151970191"/>
    <n v="0"/>
    <n v="0"/>
    <n v="0"/>
    <n v="0"/>
    <n v="0"/>
    <n v="419.32846960877021"/>
    <m/>
    <n v="26.980976809297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8.70609571799861"/>
    <n v="0"/>
    <n v="0"/>
    <n v="0"/>
    <n v="0"/>
    <n v="0"/>
    <m/>
    <m/>
    <m/>
    <m/>
    <m/>
    <m/>
    <m/>
    <m/>
    <m/>
    <n v="13751.25324768819"/>
    <m/>
    <m/>
    <m/>
    <m/>
    <m/>
    <m/>
    <m/>
    <m/>
    <m/>
    <m/>
    <m/>
    <m/>
    <n v="75171.497499999998"/>
    <n v="-25957.670059999975"/>
    <m/>
    <m/>
    <m/>
    <m/>
    <n v="-26532.879120000001"/>
    <n v="571.87943999999879"/>
    <n v="30"/>
    <n v="795.3846388530219"/>
    <n v="0"/>
    <n v="0"/>
    <n v="0"/>
    <n v="0"/>
    <n v="0"/>
    <n v="0"/>
    <n v="0"/>
    <n v="-252.90853354177307"/>
    <n v="0"/>
    <n v="0"/>
    <n v="571.67560316780691"/>
    <n v="0"/>
    <n v="0"/>
    <n v="0"/>
    <n v="18.395942837030816"/>
    <n v="0"/>
    <n v="393.93730970382012"/>
    <m/>
    <n v="0"/>
    <n v="0"/>
    <n v="0"/>
    <n v="0"/>
    <n v="61.068111705779813"/>
    <n v="3.2162049803647186"/>
    <n v="0"/>
    <n v="0"/>
    <m/>
    <m/>
    <m/>
    <n v="51754.932843678427"/>
    <n v="0"/>
    <n v="0"/>
    <n v="-26532.879119999998"/>
    <n v="571.87943999999879"/>
    <n v="0"/>
    <n v="0"/>
    <n v="-26756.577405699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59"/>
    <s v="Regular"/>
    <s v="Verde"/>
    <s v="A4"/>
    <s v="Industrial"/>
    <s v="Não se aplica"/>
    <s v="Não se aplica"/>
    <s v="Não se aplica"/>
    <s v="Fora ponta"/>
    <s v="CATIVO"/>
    <x v="7"/>
    <n v="0"/>
    <n v="0"/>
    <n v="640.12900000000002"/>
    <n v="640.12900000000002"/>
    <n v="640.12900000000002"/>
    <n v="640.12900000000002"/>
    <m/>
    <n v="72.290000000000006"/>
    <n v="297.72000000000003"/>
    <m/>
    <n v="236854.13129000002"/>
    <n v="236854.13129000002"/>
    <n v="251852.35376"/>
    <n v="0"/>
    <n v="33755.351522804049"/>
    <n v="0"/>
    <n v="0"/>
    <n v="0"/>
    <n v="0"/>
    <n v="0"/>
    <n v="190581.67484230641"/>
    <n v="0"/>
    <n v="0"/>
    <n v="0"/>
    <n v="0"/>
    <n v="0"/>
    <n v="5998.576783815869"/>
    <m/>
    <n v="385.9682154276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32.725582056556"/>
    <n v="0"/>
    <n v="0"/>
    <n v="0"/>
    <n v="0"/>
    <n v="0"/>
    <m/>
    <m/>
    <m/>
    <m/>
    <m/>
    <m/>
    <m/>
    <m/>
    <m/>
    <n v="196714.40042436298"/>
    <m/>
    <m/>
    <m/>
    <m/>
    <m/>
    <m/>
    <m/>
    <m/>
    <m/>
    <m/>
    <m/>
    <m/>
    <n v="251852.74719999998"/>
    <n v="14998.585909999936"/>
    <m/>
    <m/>
    <m/>
    <m/>
    <n v="6817.3738499999945"/>
    <n v="8180.8486199999825"/>
    <n v="30"/>
    <n v="14996.041390719387"/>
    <n v="0"/>
    <n v="0"/>
    <n v="0"/>
    <n v="0"/>
    <n v="0"/>
    <n v="0"/>
    <n v="0"/>
    <n v="0"/>
    <n v="0"/>
    <n v="0"/>
    <n v="8177.9326937562728"/>
    <n v="0"/>
    <n v="0"/>
    <n v="0"/>
    <n v="263.15760463765309"/>
    <n v="0"/>
    <n v="5635.3512139849117"/>
    <m/>
    <n v="0"/>
    <n v="0"/>
    <n v="0"/>
    <n v="0"/>
    <n v="873.59142929536756"/>
    <n v="46.008449045228588"/>
    <n v="0"/>
    <n v="0"/>
    <m/>
    <m/>
    <m/>
    <n v="0"/>
    <n v="0"/>
    <n v="0"/>
    <n v="6817.3738499999963"/>
    <n v="8180.848619999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0"/>
    <s v="Regular"/>
    <s v="Verde"/>
    <s v="A4"/>
    <s v="Industrial"/>
    <s v="Não se aplica"/>
    <s v="Não se aplica"/>
    <s v="Não se aplica"/>
    <s v="Não se aplica"/>
    <s v="CATIVO"/>
    <x v="7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7121.74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0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161"/>
    <s v="Regular"/>
    <s v="Convencional"/>
    <s v="B3"/>
    <s v="Comercial"/>
    <s v="Não se aplica"/>
    <s v="Não se aplica"/>
    <s v="Não se aplica"/>
    <s v="Não se aplica"/>
    <s v="CATIVO"/>
    <x v="7"/>
    <n v="0"/>
    <n v="0"/>
    <n v="22.893000000000001"/>
    <n v="22.893000000000001"/>
    <n v="22.893000000000001"/>
    <n v="22.893000000000001"/>
    <m/>
    <n v="395.23"/>
    <n v="297.72000000000003"/>
    <m/>
    <n v="15863.704350000002"/>
    <n v="15863.704350000002"/>
    <n v="14059.735949999998"/>
    <n v="0"/>
    <n v="1387.5817782122551"/>
    <n v="0"/>
    <n v="0"/>
    <n v="0"/>
    <n v="2275.5070402192987"/>
    <n v="4581.9150667129716"/>
    <n v="6815.7922577557347"/>
    <n v="0"/>
    <n v="0"/>
    <n v="0"/>
    <n v="0"/>
    <n v="0"/>
    <n v="214.52772536769413"/>
    <m/>
    <n v="20.3836281349582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.06240445044364"/>
    <n v="0"/>
    <n v="0"/>
    <n v="0"/>
    <n v="4902.34"/>
    <n v="47"/>
    <m/>
    <m/>
    <m/>
    <m/>
    <m/>
    <m/>
    <m/>
    <m/>
    <m/>
    <n v="7383.8546622061785"/>
    <m/>
    <m/>
    <m/>
    <m/>
    <m/>
    <m/>
    <m/>
    <m/>
    <m/>
    <m/>
    <m/>
    <m/>
    <n v="14057.8935"/>
    <n v="-1805.8408500000023"/>
    <m/>
    <m/>
    <m/>
    <m/>
    <n v="-2096.5409400000008"/>
    <n v="292.57253999999938"/>
    <n v="30"/>
    <n v="564.63232424997113"/>
    <n v="0"/>
    <n v="0"/>
    <n v="0"/>
    <n v="0"/>
    <n v="0"/>
    <n v="0"/>
    <n v="0"/>
    <n v="-17.536306070791852"/>
    <n v="0"/>
    <n v="0"/>
    <n v="292.46825742649071"/>
    <n v="0"/>
    <n v="0"/>
    <n v="0"/>
    <n v="24.375775442695613"/>
    <n v="0"/>
    <n v="231.65247303288311"/>
    <m/>
    <n v="0"/>
    <n v="0"/>
    <n v="0"/>
    <n v="0"/>
    <n v="31.242341138831193"/>
    <n v="2.4297832798613044"/>
    <n v="0"/>
    <n v="0"/>
    <m/>
    <m/>
    <m/>
    <n v="4581.9150667129716"/>
    <n v="0"/>
    <n v="0"/>
    <n v="-2096.5409400000017"/>
    <n v="292.57253999999921"/>
    <n v="0"/>
    <n v="0"/>
    <n v="-2368.7860927023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2"/>
    <s v="Regular"/>
    <s v="Convencional"/>
    <s v="B2"/>
    <s v="Rural"/>
    <s v="Não se aplica"/>
    <s v="Não se aplica"/>
    <s v="Não se aplica"/>
    <s v="Não se aplica"/>
    <s v="CATIVO"/>
    <x v="7"/>
    <n v="0"/>
    <n v="0"/>
    <n v="404.09800000000001"/>
    <n v="404.09800000000001"/>
    <n v="404.09800000000001"/>
    <n v="404.09800000000001"/>
    <m/>
    <n v="395.23"/>
    <n v="297.72000000000003"/>
    <m/>
    <n v="280019.70910000004"/>
    <n v="280019.70910000004"/>
    <n v="248176.7867"/>
    <n v="0"/>
    <n v="24493.033740095918"/>
    <n v="0"/>
    <n v="0"/>
    <n v="0"/>
    <n v="40166.332238611722"/>
    <n v="80878.116220179902"/>
    <n v="120309.61515636119"/>
    <n v="0"/>
    <n v="0"/>
    <n v="0"/>
    <n v="0"/>
    <n v="0"/>
    <n v="3786.7568586744624"/>
    <m/>
    <n v="359.803580224538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27.208383069732"/>
    <n v="0"/>
    <n v="0.71"/>
    <n v="3.33"/>
    <n v="62830.18"/>
    <n v="950"/>
    <m/>
    <m/>
    <m/>
    <m/>
    <m/>
    <n v="29782.022599999997"/>
    <m/>
    <m/>
    <m/>
    <n v="130336.82353943093"/>
    <m/>
    <m/>
    <m/>
    <m/>
    <m/>
    <m/>
    <m/>
    <m/>
    <m/>
    <m/>
    <m/>
    <m/>
    <n v="218395.84500000003"/>
    <n v="-28023.145400000009"/>
    <m/>
    <m/>
    <m/>
    <m/>
    <n v="-37007.294840000017"/>
    <n v="5164.3724399999892"/>
    <n v="30"/>
    <n v="9966.6619912097813"/>
    <n v="0"/>
    <n v="0"/>
    <n v="0"/>
    <n v="0"/>
    <n v="0"/>
    <n v="0"/>
    <n v="0"/>
    <n v="-309.54379987746506"/>
    <n v="0"/>
    <n v="0"/>
    <n v="5162.5316860844032"/>
    <n v="0"/>
    <n v="0"/>
    <n v="0"/>
    <n v="430.27135390042349"/>
    <n v="0"/>
    <n v="4089.0359956162138"/>
    <m/>
    <n v="0"/>
    <n v="0"/>
    <n v="0"/>
    <n v="0"/>
    <n v="551.47720130692369"/>
    <n v="42.889554179242282"/>
    <n v="0"/>
    <n v="0"/>
    <m/>
    <m/>
    <m/>
    <n v="80878.116220179902"/>
    <n v="0"/>
    <n v="0"/>
    <n v="-37007.294840000017"/>
    <n v="5164.3724399999919"/>
    <n v="0"/>
    <n v="0"/>
    <n v="-41812.856440345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3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39.155999999999999"/>
    <n v="39.155999999999999"/>
    <n v="39.155999999999999"/>
    <n v="39.155999999999999"/>
    <m/>
    <n v="395.23"/>
    <n v="297.72000000000003"/>
    <m/>
    <n v="27133.1502"/>
    <n v="27133.1502"/>
    <n v="24047.657399999996"/>
    <n v="0"/>
    <n v="2373.3085269592912"/>
    <n v="0"/>
    <n v="0"/>
    <n v="0"/>
    <n v="3892.0086343784933"/>
    <n v="7836.8700629979958"/>
    <n v="11657.675343759382"/>
    <n v="0"/>
    <n v="0"/>
    <n v="0"/>
    <n v="0"/>
    <n v="0"/>
    <n v="366.92646723878175"/>
    <m/>
    <n v="34.863990881598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1.60929142801592"/>
    <n v="0"/>
    <n v="0"/>
    <n v="0"/>
    <n v="14129.32"/>
    <n v="23"/>
    <m/>
    <m/>
    <m/>
    <m/>
    <m/>
    <n v="2885.7971999999991"/>
    <m/>
    <m/>
    <m/>
    <n v="12629.284635187398"/>
    <m/>
    <m/>
    <m/>
    <m/>
    <m/>
    <m/>
    <m/>
    <m/>
    <m/>
    <m/>
    <m/>
    <m/>
    <n v="21164.021999999997"/>
    <n v="-2713.3368000000009"/>
    <m/>
    <m/>
    <m/>
    <m/>
    <n v="-3585.9064800000015"/>
    <n v="500.41367999999892"/>
    <n v="30"/>
    <n v="965.74251030148298"/>
    <n v="0"/>
    <n v="0"/>
    <n v="0"/>
    <n v="0"/>
    <n v="0"/>
    <n v="0"/>
    <n v="0"/>
    <n v="-29.993954506089722"/>
    <n v="0"/>
    <n v="0"/>
    <n v="500.23531593900771"/>
    <n v="0"/>
    <n v="0"/>
    <n v="0"/>
    <n v="41.692126992276712"/>
    <n v="0"/>
    <n v="396.21649561331287"/>
    <m/>
    <n v="0"/>
    <n v="0"/>
    <n v="0"/>
    <n v="0"/>
    <n v="53.436644809857796"/>
    <n v="4.1558814531188233"/>
    <n v="0"/>
    <n v="0"/>
    <m/>
    <m/>
    <m/>
    <n v="7836.8700629979958"/>
    <n v="0"/>
    <n v="0"/>
    <n v="-3585.9064800000015"/>
    <n v="500.41367999999966"/>
    <n v="0"/>
    <n v="0"/>
    <n v="-4051.5523629866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4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0.84099999999999997"/>
    <n v="0.84099999999999997"/>
    <n v="0.84099999999999997"/>
    <n v="0.84099999999999997"/>
    <m/>
    <n v="395.23"/>
    <n v="297.72000000000003"/>
    <m/>
    <n v="582.77095000000008"/>
    <n v="582.77095000000008"/>
    <n v="516.50014999999996"/>
    <n v="0"/>
    <n v="50.974371007579016"/>
    <n v="0"/>
    <n v="0"/>
    <n v="0"/>
    <n v="83.593300171424886"/>
    <n v="168.3217826892766"/>
    <n v="250.38576371696905"/>
    <n v="0"/>
    <n v="0"/>
    <n v="0"/>
    <n v="0"/>
    <n v="0"/>
    <n v="7.8809163077897502"/>
    <m/>
    <n v="0.74881541351067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868408777478837"/>
    <n v="0"/>
    <n v="0"/>
    <n v="0"/>
    <n v="188.03"/>
    <n v="17"/>
    <m/>
    <m/>
    <m/>
    <m/>
    <m/>
    <m/>
    <m/>
    <m/>
    <m/>
    <n v="271.25417249444791"/>
    <m/>
    <m/>
    <m/>
    <m/>
    <m/>
    <m/>
    <m/>
    <m/>
    <m/>
    <m/>
    <m/>
    <m/>
    <n v="515.88599999999997"/>
    <n v="-66.91495000000009"/>
    <m/>
    <m/>
    <m/>
    <m/>
    <n v="-77.018780000000035"/>
    <n v="10.747979999999977"/>
    <n v="30"/>
    <n v="20.74240093889955"/>
    <n v="0"/>
    <n v="0"/>
    <n v="0"/>
    <n v="0"/>
    <n v="0"/>
    <n v="0"/>
    <n v="0"/>
    <n v="-0.64421584788081532"/>
    <n v="0"/>
    <n v="0"/>
    <n v="10.744149062843633"/>
    <n v="0"/>
    <n v="0"/>
    <n v="0"/>
    <n v="0.89547141690940535"/>
    <n v="0"/>
    <n v="8.5100130966083398"/>
    <m/>
    <n v="0"/>
    <n v="0"/>
    <n v="0"/>
    <n v="0"/>
    <n v="1.1477223997622428"/>
    <n v="8.9260810656679124E-2"/>
    <n v="0"/>
    <n v="0"/>
    <m/>
    <m/>
    <m/>
    <n v="168.3217826892766"/>
    <n v="0"/>
    <n v="0"/>
    <n v="-77.018780000000049"/>
    <n v="10.747979999999956"/>
    <n v="0"/>
    <n v="0"/>
    <n v="-87.020010656648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5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0.5"/>
    <n v="20.5"/>
    <n v="20.5"/>
    <n v="20.5"/>
    <m/>
    <n v="217.38"/>
    <n v="163.75"/>
    <m/>
    <n v="7813.165"/>
    <n v="7813.165"/>
    <n v="6924.49"/>
    <n v="0"/>
    <n v="683.39599656415407"/>
    <n v="0"/>
    <n v="0"/>
    <n v="0"/>
    <n v="1120.7068483148817"/>
    <n v="2256.6326989555246"/>
    <n v="3356.83648740645"/>
    <n v="0"/>
    <n v="0"/>
    <n v="0"/>
    <n v="0"/>
    <n v="0"/>
    <n v="105.6567554938518"/>
    <m/>
    <n v="10.039112707886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77563491804278"/>
    <n v="0"/>
    <n v="0"/>
    <n v="0"/>
    <n v="2810.03"/>
    <n v="1"/>
    <m/>
    <m/>
    <m/>
    <m/>
    <m/>
    <m/>
    <m/>
    <m/>
    <m/>
    <n v="3636.6121223244927"/>
    <m/>
    <m/>
    <m/>
    <m/>
    <m/>
    <m/>
    <m/>
    <m/>
    <m/>
    <m/>
    <m/>
    <m/>
    <n v="6924.49"/>
    <n v="-888.70500000000084"/>
    <m/>
    <m/>
    <m/>
    <m/>
    <n v="-1032.585"/>
    <n v="143.9100000000002"/>
    <n v="30"/>
    <n v="278.08629082769949"/>
    <n v="0"/>
    <n v="0"/>
    <n v="0"/>
    <n v="0"/>
    <n v="0"/>
    <n v="0"/>
    <n v="0"/>
    <n v="-8.6367820271771052"/>
    <n v="0"/>
    <n v="0"/>
    <n v="144.04313993289634"/>
    <n v="0"/>
    <n v="0"/>
    <n v="0"/>
    <n v="12.005279697566664"/>
    <n v="0"/>
    <n v="114.09084145571751"/>
    <m/>
    <n v="0"/>
    <n v="0"/>
    <n v="0"/>
    <n v="0"/>
    <n v="15.387122541402746"/>
    <n v="1.1966892272937777"/>
    <n v="0"/>
    <n v="0"/>
    <m/>
    <m/>
    <m/>
    <n v="2256.6326989555246"/>
    <n v="0"/>
    <n v="0"/>
    <n v="-1032.585"/>
    <n v="143.91000000000031"/>
    <n v="0"/>
    <n v="0"/>
    <n v="-1166.647586389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6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0.309"/>
    <n v="0.29046"/>
    <n v="0.309"/>
    <n v="0.29046"/>
    <m/>
    <n v="395.23"/>
    <n v="297.72000000000003"/>
    <m/>
    <n v="214.12155000000001"/>
    <n v="214.12155000000001"/>
    <n v="189.77235000000002"/>
    <n v="0"/>
    <n v="18.728990061048652"/>
    <n v="0"/>
    <n v="0"/>
    <n v="0"/>
    <n v="30.713828481534236"/>
    <n v="61.844745363836466"/>
    <n v="91.996671805640233"/>
    <n v="0"/>
    <n v="0"/>
    <n v="0"/>
    <n v="0"/>
    <n v="0"/>
    <n v="2.8956042082128812"/>
    <m/>
    <n v="0.27512956334696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674652939844963"/>
    <n v="0"/>
    <n v="0"/>
    <n v="0"/>
    <n v="69.19"/>
    <n v="2"/>
    <m/>
    <m/>
    <m/>
    <m/>
    <n v="11.386341000000002"/>
    <m/>
    <m/>
    <m/>
    <m/>
    <n v="99.664137099624725"/>
    <m/>
    <m/>
    <m/>
    <m/>
    <m/>
    <m/>
    <m/>
    <m/>
    <m/>
    <m/>
    <m/>
    <m/>
    <n v="178.10349999999997"/>
    <n v="-23.200757000000038"/>
    <m/>
    <m/>
    <m/>
    <m/>
    <n v="-28.298220000000011"/>
    <n v="3.9490199999999915"/>
    <n v="30"/>
    <n v="7.6211675268964711"/>
    <n v="0"/>
    <n v="0"/>
    <n v="0"/>
    <n v="0"/>
    <n v="0"/>
    <n v="0"/>
    <n v="0"/>
    <n v="-0.23669761830579716"/>
    <n v="0"/>
    <n v="0"/>
    <n v="3.9476124380721558"/>
    <n v="0"/>
    <n v="0"/>
    <n v="0"/>
    <n v="0.32901387375149405"/>
    <n v="0"/>
    <n v="3.1267467857930775"/>
    <m/>
    <n v="0"/>
    <n v="0"/>
    <n v="0"/>
    <n v="0"/>
    <n v="0.42169586388410574"/>
    <n v="3.2796183701443382E-2"/>
    <n v="0"/>
    <n v="0"/>
    <m/>
    <m/>
    <m/>
    <n v="61.844745363836466"/>
    <n v="0"/>
    <n v="0"/>
    <n v="-28.298220000000001"/>
    <n v="3.9490200000000044"/>
    <n v="0"/>
    <n v="0"/>
    <n v="-31.97286955161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7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119999999999999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68"/>
    <s v="Regular"/>
    <s v="Convencional"/>
    <s v="B2"/>
    <s v="Rural"/>
    <s v="Agropecuária rural"/>
    <s v="IRRIG./AQUIC."/>
    <s v="Não se aplica"/>
    <s v="Não se aplica"/>
    <s v="CATIVO"/>
    <x v="7"/>
    <n v="0"/>
    <n v="0"/>
    <n v="9.6000000000000002E-2"/>
    <n v="9.6000000000000002E-2"/>
    <n v="9.6000000000000002E-2"/>
    <n v="9.6000000000000002E-2"/>
    <m/>
    <n v="395.23"/>
    <n v="297.72000000000003"/>
    <m/>
    <n v="66.523200000000003"/>
    <n v="66.523200000000003"/>
    <n v="58.958399999999997"/>
    <n v="0"/>
    <n v="5.8187153587723968"/>
    <n v="0"/>
    <n v="0"/>
    <n v="0"/>
    <n v="9.5421603049426746"/>
    <n v="19.213901472259874"/>
    <n v="28.581490269713473"/>
    <n v="0"/>
    <n v="0"/>
    <n v="0"/>
    <n v="0"/>
    <n v="0"/>
    <n v="0.89960519090108926"/>
    <m/>
    <n v="8.5477145894203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821251398786787"/>
    <n v="0"/>
    <n v="0"/>
    <n v="0"/>
    <n v="0"/>
    <n v="0"/>
    <m/>
    <m/>
    <m/>
    <m/>
    <m/>
    <n v="8.2415999999999965"/>
    <m/>
    <m/>
    <m/>
    <n v="30.963615409592151"/>
    <m/>
    <m/>
    <m/>
    <m/>
    <m/>
    <m/>
    <m/>
    <m/>
    <m/>
    <m/>
    <m/>
    <m/>
    <n v="52.83"/>
    <n v="-4.2230400000000046"/>
    <m/>
    <m/>
    <m/>
    <m/>
    <n v="-8.7916800000000048"/>
    <n v="1.2268799999999973"/>
    <n v="30"/>
    <n v="2.3677413675794838"/>
    <n v="0"/>
    <n v="0"/>
    <n v="0"/>
    <n v="0"/>
    <n v="0"/>
    <n v="0"/>
    <n v="0"/>
    <n v="-7.3537124133839171E-2"/>
    <n v="0"/>
    <n v="0"/>
    <n v="1.2264426992068813"/>
    <n v="0"/>
    <n v="0"/>
    <n v="0"/>
    <n v="0.10221790252473584"/>
    <n v="0"/>
    <n v="0.97141647713959678"/>
    <m/>
    <n v="0"/>
    <n v="0"/>
    <n v="0"/>
    <n v="0"/>
    <n v="0.13101230722612989"/>
    <n v="1.0189105615982408E-2"/>
    <n v="0"/>
    <n v="0"/>
    <m/>
    <m/>
    <m/>
    <n v="19.213901472259874"/>
    <n v="0"/>
    <n v="0"/>
    <n v="-8.7916800000000066"/>
    <n v="1.2268799999999978"/>
    <n v="0"/>
    <n v="0"/>
    <n v="-9.933318695646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69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4.0000000000000001E-3"/>
    <n v="1.6000000000000001E-3"/>
    <n v="4.0000000000000001E-3"/>
    <n v="1.6000000000000001E-3"/>
    <m/>
    <n v="395.23"/>
    <n v="297.72000000000003"/>
    <m/>
    <n v="2.7718000000000003"/>
    <n v="2.7718000000000003"/>
    <n v="2.4565999999999999"/>
    <n v="0"/>
    <n v="0.24244647328218322"/>
    <n v="0"/>
    <n v="0"/>
    <n v="0"/>
    <n v="0.3975900127059448"/>
    <n v="0.80057922801082804"/>
    <n v="1.1908954279047279"/>
    <n v="0"/>
    <n v="0"/>
    <n v="0"/>
    <n v="0"/>
    <n v="0"/>
    <n v="3.7483549620878721E-2"/>
    <m/>
    <n v="3.5615477455918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255214161611607E-2"/>
    <n v="0"/>
    <n v="0"/>
    <n v="0"/>
    <n v="0"/>
    <n v="0"/>
    <m/>
    <m/>
    <m/>
    <m/>
    <m/>
    <m/>
    <n v="1.6113200000000001"/>
    <m/>
    <m/>
    <n v="1.2901506420663396"/>
    <m/>
    <m/>
    <m/>
    <m/>
    <m/>
    <m/>
    <m/>
    <m/>
    <m/>
    <m/>
    <m/>
    <m/>
    <n v="0"/>
    <n v="-0.98038400000000003"/>
    <m/>
    <m/>
    <m/>
    <m/>
    <n v="-0.36632000000000015"/>
    <n v="5.1119999999999895E-2"/>
    <n v="30"/>
    <n v="9.8655890315812123E-2"/>
    <n v="0"/>
    <n v="0"/>
    <n v="0"/>
    <n v="0"/>
    <n v="0"/>
    <n v="0"/>
    <n v="0"/>
    <n v="-3.064046838909984E-3"/>
    <n v="0"/>
    <n v="0"/>
    <n v="5.1101779133620129E-2"/>
    <n v="0"/>
    <n v="0"/>
    <n v="0"/>
    <n v="4.2590792718639886E-3"/>
    <n v="0"/>
    <n v="4.0475686547483181E-2"/>
    <m/>
    <n v="0"/>
    <n v="0"/>
    <n v="0"/>
    <n v="0"/>
    <n v="5.4588461344220809E-3"/>
    <n v="4.2454606733260004E-4"/>
    <n v="0"/>
    <n v="0"/>
    <m/>
    <m/>
    <m/>
    <n v="0.80057922801082804"/>
    <n v="0"/>
    <n v="0"/>
    <n v="-0.3663200000000002"/>
    <n v="5.1119999999999832E-2"/>
    <n v="0"/>
    <n v="0"/>
    <n v="-0.4138882789852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0"/>
    <s v="Regular"/>
    <s v="Convencional"/>
    <s v="B1"/>
    <s v="Residencial"/>
    <s v="Residencial"/>
    <s v="Não se aplica"/>
    <s v="Não se aplica"/>
    <s v="Não se aplica"/>
    <s v="CATIVO"/>
    <x v="8"/>
    <n v="0"/>
    <n v="0"/>
    <n v="34.506999999999998"/>
    <n v="34.506999999999998"/>
    <n v="34.506999999999998"/>
    <n v="34.506999999999998"/>
    <m/>
    <n v="395.23"/>
    <n v="297.72000000000003"/>
    <m/>
    <n v="23911.625650000002"/>
    <n v="23911.625650000002"/>
    <n v="21192.474049999997"/>
    <n v="0"/>
    <n v="2091.5251133870738"/>
    <n v="0"/>
    <n v="0"/>
    <n v="0"/>
    <n v="3429.9096421110089"/>
    <n v="6906.3968552424103"/>
    <n v="10273.557132677111"/>
    <n v="0"/>
    <n v="0"/>
    <n v="0"/>
    <n v="0"/>
    <n v="0"/>
    <n v="323.36121169191546"/>
    <m/>
    <n v="30.7245820142840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.24991876868285"/>
    <n v="0"/>
    <n v="0"/>
    <n v="0"/>
    <n v="3898.7"/>
    <n v="261"/>
    <m/>
    <m/>
    <m/>
    <m/>
    <m/>
    <m/>
    <m/>
    <m/>
    <m/>
    <n v="11129.807051445794"/>
    <m/>
    <m/>
    <m/>
    <m/>
    <m/>
    <m/>
    <m/>
    <m/>
    <m/>
    <m/>
    <m/>
    <m/>
    <n v="21194.316500000001"/>
    <n v="-2717.3391499999962"/>
    <m/>
    <m/>
    <m/>
    <m/>
    <n v="-3160.1510600000011"/>
    <n v="440.99945999999903"/>
    <n v="31"/>
    <n v="851.079701781935"/>
    <n v="0"/>
    <n v="0"/>
    <n v="0"/>
    <n v="0"/>
    <n v="0"/>
    <n v="0"/>
    <n v="0"/>
    <n v="-26.432766067566718"/>
    <n v="0"/>
    <n v="0"/>
    <n v="440.84227314095733"/>
    <n v="0"/>
    <n v="0"/>
    <n v="0"/>
    <n v="36.742012108552785"/>
    <n v="0"/>
    <n v="349.17362892350047"/>
    <m/>
    <n v="0"/>
    <n v="0"/>
    <n v="0"/>
    <n v="0"/>
    <n v="47.092100890125721"/>
    <n v="3.6624527863615093"/>
    <n v="0"/>
    <n v="0"/>
    <m/>
    <m/>
    <m/>
    <n v="6906.3968552424103"/>
    <n v="0"/>
    <n v="0"/>
    <n v="-3160.151060000002"/>
    <n v="440.99945999999909"/>
    <n v="0"/>
    <n v="0"/>
    <n v="-3570.510710736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32.520000000000003"/>
    <n v="1"/>
    <m/>
    <m/>
    <m/>
    <m/>
    <m/>
    <m/>
    <m/>
    <m/>
    <m/>
    <n v="32.253766051658488"/>
    <m/>
    <m/>
    <m/>
    <m/>
    <m/>
    <m/>
    <m/>
    <m/>
    <m/>
    <m/>
    <m/>
    <m/>
    <n v="61.414999999999999"/>
    <n v="-7.9100000000000037"/>
    <m/>
    <m/>
    <m/>
    <m/>
    <n v="-9.1580000000000048"/>
    <n v="1.2779999999999974"/>
    <n v="31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3"/>
    <n v="0.3"/>
    <n v="0.3"/>
    <n v="0.3"/>
    <m/>
    <n v="325.25"/>
    <n v="297.72000000000003"/>
    <m/>
    <n v="186.89100000000002"/>
    <n v="186.89100000000002"/>
    <n v="159.80399999999997"/>
    <n v="0"/>
    <n v="0"/>
    <n v="0"/>
    <n v="0"/>
    <n v="0"/>
    <n v="29.819250952945858"/>
    <n v="60.043442100812101"/>
    <n v="89.3171570928546"/>
    <n v="0"/>
    <n v="0"/>
    <n v="0"/>
    <n v="0"/>
    <n v="0"/>
    <n v="0"/>
    <m/>
    <n v="0.2671160809193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3"/>
    <n v="0"/>
    <n v="0"/>
    <n v="0"/>
    <n v="7.3"/>
    <n v="2"/>
    <m/>
    <m/>
    <m/>
    <m/>
    <m/>
    <m/>
    <m/>
    <n v="103.875"/>
    <m/>
    <n v="96.761298154975464"/>
    <m/>
    <m/>
    <m/>
    <m/>
    <m/>
    <m/>
    <m/>
    <m/>
    <m/>
    <m/>
    <m/>
    <m/>
    <n v="55.929000000000002"/>
    <n v="-9.512999999999991"/>
    <m/>
    <m/>
    <m/>
    <m/>
    <n v="-30.920999999999996"/>
    <n v="3.8339999999999916"/>
    <n v="31"/>
    <n v="3.9541018225430093"/>
    <n v="0"/>
    <n v="0"/>
    <n v="0"/>
    <n v="0"/>
    <n v="0"/>
    <n v="0"/>
    <n v="0"/>
    <n v="-0.22980351291824874"/>
    <n v="0"/>
    <n v="0"/>
    <n v="3.8326334350215063"/>
    <n v="0"/>
    <n v="0"/>
    <n v="0"/>
    <n v="0.31943094538979899"/>
    <n v="0"/>
    <n v="0"/>
    <m/>
    <n v="0"/>
    <n v="0"/>
    <n v="0"/>
    <n v="0"/>
    <n v="0"/>
    <n v="3.1840955049944997E-2"/>
    <n v="0"/>
    <n v="0"/>
    <m/>
    <m/>
    <m/>
    <n v="60.043442100812101"/>
    <n v="0"/>
    <n v="0"/>
    <n v="-30.921000000000006"/>
    <n v="3.833999999999989"/>
    <n v="0"/>
    <n v="0"/>
    <n v="-31.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495"/>
    <n v="0.495"/>
    <n v="0.495"/>
    <n v="0.495"/>
    <m/>
    <n v="325.25"/>
    <n v="297.72000000000003"/>
    <m/>
    <n v="308.37015000000002"/>
    <n v="308.37015000000002"/>
    <n v="263.67660000000001"/>
    <n v="0"/>
    <n v="0"/>
    <n v="0"/>
    <n v="0"/>
    <n v="0"/>
    <n v="49.201764072360668"/>
    <n v="99.071679466339972"/>
    <n v="147.37330920321008"/>
    <n v="0"/>
    <n v="0"/>
    <n v="0"/>
    <n v="0"/>
    <n v="0"/>
    <n v="0"/>
    <m/>
    <n v="0.44074153351698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82832752499436"/>
    <n v="0"/>
    <n v="0"/>
    <n v="0"/>
    <n v="20.93"/>
    <n v="1"/>
    <m/>
    <m/>
    <m/>
    <m/>
    <m/>
    <m/>
    <m/>
    <n v="105.46965"/>
    <m/>
    <n v="159.65614195570953"/>
    <m/>
    <m/>
    <m/>
    <m/>
    <m/>
    <m/>
    <m/>
    <m/>
    <m/>
    <m/>
    <m/>
    <m/>
    <n v="159.80500000000001"/>
    <n v="-25.246099999999984"/>
    <m/>
    <m/>
    <m/>
    <m/>
    <n v="-51.019649999999999"/>
    <n v="6.3260999999999861"/>
    <n v="31"/>
    <n v="6.5242680071959569"/>
    <n v="0"/>
    <n v="0"/>
    <n v="0"/>
    <n v="0"/>
    <n v="0"/>
    <n v="0"/>
    <n v="0"/>
    <n v="-0.37917579631510989"/>
    <n v="0"/>
    <n v="0"/>
    <n v="6.3238451677854925"/>
    <n v="0"/>
    <n v="0"/>
    <n v="0"/>
    <n v="0.52706105989316931"/>
    <n v="0"/>
    <n v="0"/>
    <m/>
    <n v="0"/>
    <n v="0"/>
    <n v="0"/>
    <n v="0"/>
    <n v="0"/>
    <n v="5.2537575832409256E-2"/>
    <n v="0"/>
    <n v="0"/>
    <m/>
    <m/>
    <m/>
    <n v="99.071679466339972"/>
    <n v="0"/>
    <n v="0"/>
    <n v="-51.019649999999999"/>
    <n v="6.3260999999999683"/>
    <n v="0"/>
    <n v="0"/>
    <n v="-51.21867452442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71099999999999997"/>
    <n v="0.71099999999999997"/>
    <n v="0.71099999999999997"/>
    <n v="0.71099999999999997"/>
    <m/>
    <n v="325.25"/>
    <n v="297.72000000000003"/>
    <m/>
    <n v="442.93167"/>
    <n v="442.93167"/>
    <n v="378.73548"/>
    <n v="0"/>
    <n v="0"/>
    <n v="0"/>
    <n v="0"/>
    <n v="0"/>
    <n v="70.671624758481684"/>
    <n v="142.30295777892468"/>
    <n v="211.68166231006538"/>
    <n v="0"/>
    <n v="0"/>
    <n v="0"/>
    <n v="0"/>
    <n v="0"/>
    <n v="0"/>
    <m/>
    <n v="0.63306511177894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64261431722646"/>
    <n v="0"/>
    <n v="0"/>
    <n v="0"/>
    <n v="82.2"/>
    <n v="3"/>
    <m/>
    <m/>
    <m/>
    <m/>
    <m/>
    <m/>
    <m/>
    <n v="37.874970000000005"/>
    <m/>
    <n v="229.32427662729185"/>
    <m/>
    <m/>
    <m/>
    <m/>
    <m/>
    <m/>
    <m/>
    <m/>
    <m/>
    <m/>
    <m/>
    <m/>
    <n v="340.38109999999995"/>
    <n v="-58.285269999999969"/>
    <m/>
    <m/>
    <m/>
    <m/>
    <n v="-73.282769999999985"/>
    <n v="9.0865799999999801"/>
    <n v="31"/>
    <n v="9.3712213194268656"/>
    <n v="0"/>
    <n v="0"/>
    <n v="0"/>
    <n v="0"/>
    <n v="0"/>
    <n v="0"/>
    <n v="0"/>
    <n v="-0.54463432561624359"/>
    <n v="0"/>
    <n v="0"/>
    <n v="9.0833412410009657"/>
    <n v="0"/>
    <n v="0"/>
    <n v="0"/>
    <n v="0.7570513405738275"/>
    <n v="0"/>
    <n v="0"/>
    <m/>
    <n v="0"/>
    <n v="0"/>
    <n v="0"/>
    <n v="0"/>
    <n v="0"/>
    <n v="7.5463063468369618E-2"/>
    <n v="0"/>
    <n v="0"/>
    <m/>
    <m/>
    <m/>
    <n v="142.30295777892468"/>
    <n v="0"/>
    <n v="0"/>
    <n v="-73.282769999999999"/>
    <n v="9.0865799999999979"/>
    <n v="0"/>
    <n v="0"/>
    <n v="-73.5686415896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20200000000000001"/>
    <n v="0.20200000000000001"/>
    <n v="0.20200000000000001"/>
    <n v="0.20200000000000001"/>
    <m/>
    <n v="325.25"/>
    <n v="297.72000000000003"/>
    <m/>
    <n v="125.83994000000001"/>
    <n v="125.83994000000001"/>
    <n v="107.60136"/>
    <n v="0"/>
    <n v="0"/>
    <n v="0"/>
    <n v="0"/>
    <n v="0"/>
    <n v="20.078295641650215"/>
    <n v="40.429251014546821"/>
    <n v="60.140219109188763"/>
    <n v="0"/>
    <n v="0"/>
    <n v="0"/>
    <n v="0"/>
    <n v="0"/>
    <n v="0"/>
    <m/>
    <n v="0.1798581611523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123883151613864"/>
    <n v="0"/>
    <n v="0"/>
    <n v="0"/>
    <n v="34.74"/>
    <n v="4"/>
    <m/>
    <m/>
    <m/>
    <m/>
    <m/>
    <m/>
    <m/>
    <m/>
    <m/>
    <n v="65.152607424350151"/>
    <m/>
    <m/>
    <m/>
    <m/>
    <m/>
    <m/>
    <m/>
    <m/>
    <m/>
    <m/>
    <m/>
    <m/>
    <n v="106.536"/>
    <n v="-19.333940000000027"/>
    <m/>
    <m/>
    <m/>
    <m/>
    <n v="-20.820139999999999"/>
    <n v="2.5815599999999947"/>
    <n v="31"/>
    <n v="2.6624285605122822"/>
    <n v="0"/>
    <n v="0"/>
    <n v="0"/>
    <n v="0"/>
    <n v="0"/>
    <n v="0"/>
    <n v="0"/>
    <n v="-0.15473436536495555"/>
    <n v="0"/>
    <n v="0"/>
    <n v="2.5806398462478199"/>
    <n v="0"/>
    <n v="0"/>
    <n v="0"/>
    <n v="0.21508350322913206"/>
    <n v="0"/>
    <n v="0"/>
    <m/>
    <n v="0"/>
    <n v="0"/>
    <n v="0"/>
    <n v="0"/>
    <n v="0"/>
    <n v="2.1439576400296312E-2"/>
    <n v="0"/>
    <n v="0"/>
    <m/>
    <m/>
    <m/>
    <n v="40.429251014546821"/>
    <n v="0"/>
    <n v="0"/>
    <n v="-20.820140000000002"/>
    <n v="2.5815599999999961"/>
    <n v="0"/>
    <n v="0"/>
    <n v="-20.901358088755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6"/>
    <s v="Regular"/>
    <s v="Convencional"/>
    <s v="B3"/>
    <s v="Industrial"/>
    <s v="Não se aplica"/>
    <s v="Não se aplica"/>
    <s v="Não se aplica"/>
    <s v="Não se aplica"/>
    <s v="CATIVO"/>
    <x v="8"/>
    <n v="0"/>
    <n v="0"/>
    <n v="2.5099999999999998"/>
    <n v="2.5099999999999998"/>
    <n v="2.5099999999999998"/>
    <n v="2.5099999999999998"/>
    <m/>
    <n v="395.23"/>
    <n v="297.72000000000003"/>
    <m/>
    <n v="1739.3045"/>
    <n v="1739.3045"/>
    <n v="1541.5164999999997"/>
    <n v="0"/>
    <n v="152.13516198456995"/>
    <n v="0"/>
    <n v="0"/>
    <n v="0"/>
    <n v="249.48773297298033"/>
    <n v="502.36346557679457"/>
    <n v="747.28688101021669"/>
    <n v="0"/>
    <n v="0"/>
    <n v="0"/>
    <n v="0"/>
    <n v="0"/>
    <n v="23.520927387101395"/>
    <m/>
    <n v="2.2348712103588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282646886411278"/>
    <n v="0"/>
    <n v="0"/>
    <n v="0"/>
    <n v="497.95"/>
    <n v="2"/>
    <m/>
    <m/>
    <m/>
    <m/>
    <m/>
    <m/>
    <m/>
    <m/>
    <m/>
    <n v="809.56952789662796"/>
    <m/>
    <m/>
    <m/>
    <m/>
    <m/>
    <m/>
    <m/>
    <m/>
    <m/>
    <m/>
    <m/>
    <m/>
    <n v="1541.5164999999997"/>
    <n v="-197.81800000000021"/>
    <m/>
    <m/>
    <m/>
    <m/>
    <n v="-229.86580000000009"/>
    <n v="32.077799999999925"/>
    <n v="31"/>
    <n v="61.906571173172097"/>
    <n v="0"/>
    <n v="0"/>
    <n v="0"/>
    <n v="0"/>
    <n v="0"/>
    <n v="0"/>
    <n v="0"/>
    <n v="-1.9226893914160144"/>
    <n v="0"/>
    <n v="0"/>
    <n v="32.066366406346674"/>
    <n v="0"/>
    <n v="0"/>
    <n v="0"/>
    <n v="2.6725722430946561"/>
    <n v="0"/>
    <n v="25.398493308545682"/>
    <m/>
    <n v="0"/>
    <n v="0"/>
    <n v="0"/>
    <n v="0"/>
    <n v="3.4254259493498544"/>
    <n v="0.2664026572512066"/>
    <n v="0"/>
    <n v="0"/>
    <m/>
    <m/>
    <m/>
    <n v="502.36346557679457"/>
    <n v="0"/>
    <n v="0"/>
    <n v="-229.86580000000004"/>
    <n v="32.077799999999911"/>
    <n v="0"/>
    <n v="0"/>
    <n v="-259.714895063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7"/>
    <s v="Regular"/>
    <s v="Azul"/>
    <s v="A4"/>
    <s v="Industrial"/>
    <s v="Não se aplica"/>
    <s v="Não se aplica"/>
    <s v="Não se aplica"/>
    <s v="Ponta"/>
    <s v="CATIVO"/>
    <x v="8"/>
    <n v="715"/>
    <n v="715"/>
    <n v="34.067999999999998"/>
    <n v="34.067999999999998"/>
    <n v="34.067999999999998"/>
    <n v="34.067999999999998"/>
    <n v="78.569999999999993"/>
    <n v="72.290000000000006"/>
    <n v="297.72000000000003"/>
    <n v="56177.549999999996"/>
    <n v="12605.500679999999"/>
    <n v="68783.050679999986"/>
    <n v="51641.913919999999"/>
    <n v="0"/>
    <n v="1796.47745326159"/>
    <n v="0"/>
    <n v="0"/>
    <n v="0"/>
    <n v="21794.517656357159"/>
    <n v="34384.966773572196"/>
    <n v="10142.856359464568"/>
    <n v="0"/>
    <n v="0"/>
    <n v="0"/>
    <n v="0"/>
    <n v="0"/>
    <n v="319.24739212102401"/>
    <m/>
    <n v="20.541430185463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.38686128811963"/>
    <n v="0"/>
    <n v="0"/>
    <n v="0"/>
    <n v="0"/>
    <n v="0"/>
    <m/>
    <m/>
    <m/>
    <m/>
    <m/>
    <m/>
    <m/>
    <m/>
    <m/>
    <n v="10469.243220752687"/>
    <m/>
    <m/>
    <m/>
    <m/>
    <m/>
    <m/>
    <m/>
    <m/>
    <m/>
    <m/>
    <m/>
    <m/>
    <n v="51642.700799999999"/>
    <n v="-17140.37988"/>
    <m/>
    <m/>
    <m/>
    <m/>
    <n v="-17576.525799999999"/>
    <n v="435.38903999999906"/>
    <n v="31"/>
    <n v="630.13664773211349"/>
    <n v="0"/>
    <n v="0"/>
    <n v="0"/>
    <n v="0"/>
    <n v="0"/>
    <n v="0"/>
    <n v="0"/>
    <n v="-167.96051408843778"/>
    <n v="0"/>
    <n v="0"/>
    <n v="435.23385288104146"/>
    <n v="0"/>
    <n v="0"/>
    <n v="0"/>
    <n v="14.005385281397309"/>
    <n v="0"/>
    <n v="299.91633742267209"/>
    <m/>
    <n v="0"/>
    <n v="0"/>
    <n v="0"/>
    <n v="0"/>
    <n v="46.492992526872911"/>
    <n v="2.4485937085694367"/>
    <n v="0"/>
    <n v="0"/>
    <m/>
    <m/>
    <n v="34384.966773572196"/>
    <n v="0"/>
    <n v="0"/>
    <n v="0"/>
    <n v="-17576.525799999996"/>
    <n v="435.38904000000002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8"/>
    <s v="Regular"/>
    <s v="Azul"/>
    <s v="A4"/>
    <s v="Industrial"/>
    <s v="Não se aplica"/>
    <s v="Não se aplica"/>
    <s v="Não se aplica"/>
    <s v="Fora ponta"/>
    <s v="CATIVO"/>
    <x v="8"/>
    <n v="715"/>
    <n v="715"/>
    <n v="240.447"/>
    <n v="240.447"/>
    <n v="240.447"/>
    <n v="240.447"/>
    <n v="25.76"/>
    <n v="72.290000000000006"/>
    <n v="297.72000000000003"/>
    <n v="18418.400000000001"/>
    <n v="88967.794470000023"/>
    <n v="107386.19447000002"/>
    <n v="107986.26767999999"/>
    <n v="0"/>
    <n v="12679.277157578652"/>
    <n v="0"/>
    <n v="0"/>
    <n v="0"/>
    <n v="8809.0697848288128"/>
    <n v="9608.3573567757503"/>
    <n v="71586.808238352038"/>
    <n v="0"/>
    <n v="0"/>
    <n v="0"/>
    <n v="0"/>
    <n v="0"/>
    <n v="2253.2017639228566"/>
    <m/>
    <n v="144.97843324539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3.5911012135875"/>
    <n v="0"/>
    <n v="0"/>
    <n v="0"/>
    <n v="0"/>
    <n v="0"/>
    <m/>
    <m/>
    <m/>
    <m/>
    <m/>
    <m/>
    <m/>
    <m/>
    <m/>
    <n v="73890.399339565629"/>
    <m/>
    <m/>
    <m/>
    <m/>
    <m/>
    <m/>
    <m/>
    <m/>
    <m/>
    <m/>
    <m/>
    <m/>
    <n v="107987.44799999999"/>
    <n v="601.22352999998839"/>
    <m/>
    <m/>
    <m/>
    <m/>
    <n v="-2472.839450000004"/>
    <n v="3072.9126599999936"/>
    <n v="31"/>
    <n v="5564.9664207957976"/>
    <n v="0"/>
    <n v="0"/>
    <n v="0"/>
    <n v="0"/>
    <n v="0"/>
    <n v="0"/>
    <n v="0"/>
    <n v="-67.88752625912457"/>
    <n v="0"/>
    <n v="0"/>
    <n v="3071.8173718353792"/>
    <n v="0"/>
    <n v="0"/>
    <n v="0"/>
    <n v="98.847976833278608"/>
    <n v="0"/>
    <n v="2116.7659852139641"/>
    <m/>
    <n v="0"/>
    <n v="0"/>
    <n v="0"/>
    <n v="0"/>
    <n v="328.14079412084629"/>
    <n v="17.281819051438163"/>
    <n v="0"/>
    <n v="0"/>
    <m/>
    <m/>
    <n v="9608.3573567757503"/>
    <n v="0"/>
    <n v="0"/>
    <n v="0"/>
    <n v="-2472.8394500000068"/>
    <n v="3072.9126599999872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79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2729.8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80"/>
    <s v="Regular"/>
    <s v="Verde"/>
    <s v="A4"/>
    <s v="Industrial"/>
    <s v="Não se aplica"/>
    <s v="Não se aplica"/>
    <s v="Não se aplica"/>
    <s v="Ponta"/>
    <s v="CATIVO"/>
    <x v="8"/>
    <n v="0"/>
    <n v="0"/>
    <n v="49.109000000000002"/>
    <n v="49.109000000000002"/>
    <n v="49.109000000000002"/>
    <n v="49.109000000000002"/>
    <m/>
    <n v="1962.25"/>
    <n v="297.72000000000003"/>
    <m/>
    <n v="110984.86673000001"/>
    <n v="110984.86673000001"/>
    <n v="82493.789290000001"/>
    <n v="0"/>
    <n v="2589.6210887702073"/>
    <n v="0"/>
    <n v="0"/>
    <n v="0"/>
    <n v="36015.629614264908"/>
    <n v="56798.806583985963"/>
    <n v="14620.920892243323"/>
    <n v="0"/>
    <n v="0"/>
    <n v="0"/>
    <n v="0"/>
    <n v="0"/>
    <n v="460.19490958293329"/>
    <m/>
    <n v="29.610458347362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0.48644977686592"/>
    <n v="0"/>
    <n v="0"/>
    <n v="0"/>
    <n v="0"/>
    <n v="0"/>
    <m/>
    <m/>
    <m/>
    <m/>
    <m/>
    <m/>
    <m/>
    <m/>
    <m/>
    <n v="15091.407342020189"/>
    <m/>
    <m/>
    <m/>
    <m/>
    <m/>
    <m/>
    <m/>
    <m/>
    <m/>
    <m/>
    <m/>
    <m/>
    <n v="82495.469100000002"/>
    <n v="-28489.427629999991"/>
    <m/>
    <m/>
    <m/>
    <m/>
    <n v="-29118.690460000005"/>
    <n v="627.61301999999864"/>
    <n v="31"/>
    <n v="872.9003358682603"/>
    <n v="0"/>
    <n v="0"/>
    <n v="0"/>
    <n v="0"/>
    <n v="0"/>
    <n v="0"/>
    <n v="0"/>
    <n v="-277.55620751102106"/>
    <n v="0"/>
    <n v="0"/>
    <n v="627.38931786823559"/>
    <n v="0"/>
    <n v="0"/>
    <n v="0"/>
    <n v="20.188753838914522"/>
    <n v="0"/>
    <n v="432.32920671862212"/>
    <m/>
    <n v="0"/>
    <n v="0"/>
    <n v="0"/>
    <n v="0"/>
    <n v="67.01961870383343"/>
    <n v="3.5296462496811287"/>
    <n v="0"/>
    <n v="0"/>
    <m/>
    <m/>
    <m/>
    <n v="56798.806583985963"/>
    <n v="0"/>
    <n v="0"/>
    <n v="-29118.690460000013"/>
    <n v="627.61301999999887"/>
    <n v="0"/>
    <n v="0"/>
    <n v="-29364.189680354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1"/>
    <s v="Regular"/>
    <s v="Verde"/>
    <s v="A4"/>
    <s v="Industrial"/>
    <s v="Não se aplica"/>
    <s v="Não se aplica"/>
    <s v="Não se aplica"/>
    <s v="Fora ponta"/>
    <s v="CATIVO"/>
    <x v="8"/>
    <n v="0"/>
    <n v="0"/>
    <n v="681.37400000000002"/>
    <n v="681.37400000000002"/>
    <n v="681.37400000000002"/>
    <n v="681.37400000000002"/>
    <m/>
    <n v="72.290000000000006"/>
    <n v="297.72000000000003"/>
    <m/>
    <n v="252115.19374000002"/>
    <n v="252115.19374000002"/>
    <n v="268079.78656000004"/>
    <n v="0"/>
    <n v="35930.287314742942"/>
    <n v="0"/>
    <n v="0"/>
    <n v="0"/>
    <n v="0"/>
    <n v="0"/>
    <n v="202861.29532328903"/>
    <n v="0"/>
    <n v="0"/>
    <n v="0"/>
    <n v="0"/>
    <n v="0"/>
    <n v="6385.0790348441542"/>
    <m/>
    <n v="410.837045062528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27.8713520996607"/>
    <n v="0"/>
    <n v="0"/>
    <n v="0"/>
    <n v="0"/>
    <n v="0"/>
    <m/>
    <m/>
    <m/>
    <m/>
    <m/>
    <m/>
    <m/>
    <m/>
    <m/>
    <n v="209389.1666753887"/>
    <m/>
    <m/>
    <m/>
    <m/>
    <m/>
    <m/>
    <m/>
    <m/>
    <m/>
    <m/>
    <m/>
    <m/>
    <n v="268078.21279999998"/>
    <n v="15962.989059999934"/>
    <m/>
    <m/>
    <m/>
    <m/>
    <n v="7256.6330999999946"/>
    <n v="8707.9597199999826"/>
    <n v="31"/>
    <n v="15962.271208709601"/>
    <n v="0"/>
    <n v="0"/>
    <n v="0"/>
    <n v="0"/>
    <n v="0"/>
    <n v="0"/>
    <n v="0"/>
    <n v="0"/>
    <n v="0"/>
    <n v="0"/>
    <n v="8704.8559138478304"/>
    <n v="0"/>
    <n v="0"/>
    <n v="0"/>
    <n v="280.11346104047243"/>
    <n v="0"/>
    <n v="5998.4499969189856"/>
    <m/>
    <n v="0"/>
    <n v="0"/>
    <n v="0"/>
    <n v="0"/>
    <n v="929.87895649892835"/>
    <n v="48.972880403393049"/>
    <n v="0"/>
    <n v="0"/>
    <m/>
    <m/>
    <m/>
    <n v="0"/>
    <n v="0"/>
    <n v="0"/>
    <n v="7256.6330999999918"/>
    <n v="8707.9597199999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2"/>
    <s v="Regular"/>
    <s v="Verde"/>
    <s v="A4"/>
    <s v="Industrial"/>
    <s v="Não se aplica"/>
    <s v="Não se aplica"/>
    <s v="Não se aplica"/>
    <s v="Não se aplica"/>
    <s v="CATIVO"/>
    <x v="8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9437.68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1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183"/>
    <s v="Regular"/>
    <s v="Convencional"/>
    <s v="B3"/>
    <s v="Comercial"/>
    <s v="Não se aplica"/>
    <s v="Não se aplica"/>
    <s v="Não se aplica"/>
    <s v="Não se aplica"/>
    <s v="CATIVO"/>
    <x v="8"/>
    <n v="0"/>
    <n v="0"/>
    <n v="22.956"/>
    <n v="22.956"/>
    <n v="22.956"/>
    <n v="22.956"/>
    <m/>
    <n v="395.23"/>
    <n v="297.72000000000003"/>
    <m/>
    <n v="15907.360200000001"/>
    <n v="15907.360200000001"/>
    <n v="14098.427399999999"/>
    <n v="0"/>
    <n v="1391.4003101664493"/>
    <n v="0"/>
    <n v="0"/>
    <n v="0"/>
    <n v="2281.7690829194171"/>
    <n v="4594.5241895541421"/>
    <n v="6834.5488607452335"/>
    <n v="0"/>
    <n v="0"/>
    <n v="0"/>
    <n v="0"/>
    <n v="0"/>
    <n v="215.11809127422296"/>
    <m/>
    <n v="20.4397225119513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9.62567407348899"/>
    <n v="0"/>
    <n v="0"/>
    <n v="0"/>
    <n v="4325.8900000000003"/>
    <n v="47"/>
    <m/>
    <m/>
    <m/>
    <m/>
    <m/>
    <m/>
    <m/>
    <m/>
    <m/>
    <n v="7404.1745348187223"/>
    <m/>
    <m/>
    <m/>
    <m/>
    <m/>
    <m/>
    <m/>
    <m/>
    <m/>
    <m/>
    <m/>
    <m/>
    <n v="14100.884"/>
    <n v="-1806.5062000000016"/>
    <m/>
    <m/>
    <m/>
    <m/>
    <n v="-2102.310480000001"/>
    <n v="293.37767999999937"/>
    <n v="31"/>
    <n v="566.18615452244558"/>
    <n v="0"/>
    <n v="0"/>
    <n v="0"/>
    <n v="0"/>
    <n v="0"/>
    <n v="0"/>
    <n v="0"/>
    <n v="-17.584564808504183"/>
    <n v="0"/>
    <n v="0"/>
    <n v="293.27311044784619"/>
    <n v="0"/>
    <n v="0"/>
    <n v="0"/>
    <n v="24.442855941227435"/>
    <n v="0"/>
    <n v="232.28996509600597"/>
    <m/>
    <n v="0"/>
    <n v="0"/>
    <n v="0"/>
    <n v="0"/>
    <n v="31.328317965448321"/>
    <n v="2.436469880421793"/>
    <n v="0"/>
    <n v="0"/>
    <m/>
    <m/>
    <m/>
    <n v="4594.5241895541421"/>
    <n v="0"/>
    <n v="0"/>
    <n v="-2102.3104800000019"/>
    <n v="293.3776799999996"/>
    <n v="0"/>
    <n v="0"/>
    <n v="-2375.3048330963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4"/>
    <s v="Regular"/>
    <s v="Convencional"/>
    <s v="B2"/>
    <s v="Rural"/>
    <s v="Não se aplica"/>
    <s v="Não se aplica"/>
    <s v="Não se aplica"/>
    <s v="Não se aplica"/>
    <s v="CATIVO"/>
    <x v="8"/>
    <n v="0"/>
    <n v="0"/>
    <n v="409.298"/>
    <n v="409.298"/>
    <n v="409.298"/>
    <n v="409.298"/>
    <m/>
    <n v="395.23"/>
    <n v="297.72000000000003"/>
    <m/>
    <n v="283623.0491"/>
    <n v="283623.0491"/>
    <n v="251370.36669999998"/>
    <n v="0"/>
    <n v="24808.214155362755"/>
    <n v="0"/>
    <n v="0"/>
    <n v="0"/>
    <n v="40683.199255129446"/>
    <n v="81918.869216593972"/>
    <n v="121857.77921263734"/>
    <n v="0"/>
    <n v="0"/>
    <n v="0"/>
    <n v="0"/>
    <n v="0"/>
    <n v="3835.4854731816044"/>
    <m/>
    <n v="364.43359229380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56.240161479827"/>
    <n v="0"/>
    <n v="0.68"/>
    <n v="3.18"/>
    <n v="56036.27"/>
    <n v="947"/>
    <m/>
    <m/>
    <m/>
    <m/>
    <m/>
    <n v="30165.262599999995"/>
    <m/>
    <m/>
    <m/>
    <n v="132014.01937411717"/>
    <m/>
    <m/>
    <m/>
    <m/>
    <m/>
    <m/>
    <m/>
    <m/>
    <m/>
    <m/>
    <m/>
    <m/>
    <n v="221206.185"/>
    <n v="-28383.765400000033"/>
    <m/>
    <m/>
    <m/>
    <m/>
    <n v="-37483.510840000017"/>
    <n v="5230.8284399999884"/>
    <n v="31"/>
    <n v="10094.914648620266"/>
    <n v="0"/>
    <n v="0"/>
    <n v="0"/>
    <n v="0"/>
    <n v="0"/>
    <n v="0"/>
    <n v="0"/>
    <n v="-313.52706076804316"/>
    <n v="0"/>
    <n v="0"/>
    <n v="5228.9639989581046"/>
    <n v="0"/>
    <n v="0"/>
    <n v="0"/>
    <n v="435.80815695384626"/>
    <n v="0"/>
    <n v="4141.6543881279431"/>
    <m/>
    <n v="0"/>
    <n v="0"/>
    <n v="0"/>
    <n v="0"/>
    <n v="558.57370128167213"/>
    <n v="43.441464066774643"/>
    <n v="0"/>
    <n v="0"/>
    <m/>
    <m/>
    <m/>
    <n v="81918.869216593972"/>
    <n v="0"/>
    <n v="0"/>
    <n v="-37483.510840000017"/>
    <n v="5230.8284399999829"/>
    <n v="0"/>
    <n v="0"/>
    <n v="-42350.911203026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5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45.146999999999998"/>
    <n v="45.146999999999998"/>
    <n v="45.146999999999998"/>
    <n v="45.146999999999998"/>
    <m/>
    <n v="395.23"/>
    <n v="297.72000000000003"/>
    <m/>
    <n v="31284.613650000003"/>
    <n v="31284.613650000003"/>
    <n v="27727.030050000001"/>
    <n v="0"/>
    <n v="2736.4327323176813"/>
    <n v="0"/>
    <n v="0"/>
    <n v="0"/>
    <n v="4487.4990759088223"/>
    <n v="9035.9376017512132"/>
    <n v="13441.338970903687"/>
    <n v="0"/>
    <n v="0"/>
    <n v="0"/>
    <n v="0"/>
    <n v="0"/>
    <n v="423.06745368345287"/>
    <m/>
    <n v="40.198299017558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0.2687884385698"/>
    <n v="0"/>
    <n v="0"/>
    <n v="0"/>
    <n v="14827.1"/>
    <n v="25"/>
    <m/>
    <m/>
    <m/>
    <m/>
    <m/>
    <n v="3327.3338999999996"/>
    <m/>
    <m/>
    <m/>
    <n v="14561.607759342258"/>
    <m/>
    <m/>
    <m/>
    <m/>
    <m/>
    <m/>
    <m/>
    <m/>
    <m/>
    <m/>
    <m/>
    <m/>
    <n v="24401.317499999997"/>
    <n v="-3129.3531000000003"/>
    <m/>
    <m/>
    <m/>
    <m/>
    <n v="-4134.5622600000015"/>
    <n v="576.97865999999874"/>
    <n v="31"/>
    <n v="1113.504370021994"/>
    <n v="0"/>
    <n v="0"/>
    <n v="0"/>
    <n v="0"/>
    <n v="0"/>
    <n v="0"/>
    <n v="0"/>
    <n v="-34.583130659067137"/>
    <n v="0"/>
    <n v="0"/>
    <n v="576.7730056363871"/>
    <n v="0"/>
    <n v="0"/>
    <n v="0"/>
    <n v="48.071162971710919"/>
    <n v="0"/>
    <n v="456.83895513980588"/>
    <m/>
    <n v="0"/>
    <n v="0"/>
    <n v="0"/>
    <n v="0"/>
    <n v="61.612631607688456"/>
    <n v="4.7917453254662234"/>
    <n v="0"/>
    <n v="0"/>
    <m/>
    <m/>
    <m/>
    <n v="9035.9376017512132"/>
    <n v="0"/>
    <n v="0"/>
    <n v="-4134.5622600000024"/>
    <n v="576.97865999999885"/>
    <n v="0"/>
    <n v="0"/>
    <n v="-4671.453532836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6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0.86399999999999999"/>
    <n v="0.86399999999999999"/>
    <n v="0.86399999999999999"/>
    <n v="0.86399999999999999"/>
    <m/>
    <n v="395.23"/>
    <n v="297.72000000000003"/>
    <m/>
    <n v="598.70880000000011"/>
    <n v="598.70880000000011"/>
    <n v="530.62559999999996"/>
    <n v="0"/>
    <n v="52.368438228951575"/>
    <n v="0"/>
    <n v="0"/>
    <n v="0"/>
    <n v="85.879442744484066"/>
    <n v="172.92511325033885"/>
    <n v="257.23341242742123"/>
    <n v="0"/>
    <n v="0"/>
    <n v="0"/>
    <n v="0"/>
    <n v="0"/>
    <n v="8.096446718109803"/>
    <m/>
    <n v="0.76929431304782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39126258908107"/>
    <n v="0"/>
    <n v="0"/>
    <n v="0"/>
    <n v="171.33"/>
    <n v="17"/>
    <m/>
    <m/>
    <m/>
    <m/>
    <m/>
    <m/>
    <m/>
    <m/>
    <m/>
    <n v="278.67253868632935"/>
    <m/>
    <m/>
    <m/>
    <m/>
    <m/>
    <m/>
    <m/>
    <m/>
    <m/>
    <m/>
    <m/>
    <m/>
    <n v="528.16899999999987"/>
    <n v="-70.569800000000214"/>
    <m/>
    <m/>
    <m/>
    <m/>
    <n v="-79.125120000000038"/>
    <n v="11.041919999999976"/>
    <n v="31"/>
    <n v="21.30967230821534"/>
    <n v="0"/>
    <n v="0"/>
    <n v="0"/>
    <n v="0"/>
    <n v="0"/>
    <n v="0"/>
    <n v="0"/>
    <n v="-0.66183411720454899"/>
    <n v="0"/>
    <n v="0"/>
    <n v="11.03798429286195"/>
    <n v="0"/>
    <n v="0"/>
    <n v="0"/>
    <n v="0.91996112272262209"/>
    <n v="0"/>
    <n v="8.7427482942563657"/>
    <m/>
    <n v="0"/>
    <n v="0"/>
    <n v="0"/>
    <n v="0"/>
    <n v="1.1791107650351691"/>
    <n v="9.1701950543841559E-2"/>
    <n v="0"/>
    <n v="0"/>
    <m/>
    <m/>
    <m/>
    <n v="172.92511325033885"/>
    <n v="0"/>
    <n v="0"/>
    <n v="-79.125120000000038"/>
    <n v="11.041919999999948"/>
    <n v="0"/>
    <n v="0"/>
    <n v="-89.39986826081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7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1.184000000000001"/>
    <n v="21.184000000000001"/>
    <n v="21.184000000000001"/>
    <n v="21.184000000000001"/>
    <m/>
    <n v="217.38"/>
    <n v="163.75"/>
    <m/>
    <n v="8073.8579200000004"/>
    <n v="8073.8579200000004"/>
    <n v="7155.5315200000005"/>
    <n v="0"/>
    <n v="706.19808737634344"/>
    <n v="0"/>
    <n v="0"/>
    <n v="0"/>
    <n v="1158.1001890098757"/>
    <n v="2331.9271753499429"/>
    <n v="3468.8402024008897"/>
    <n v="0"/>
    <n v="0"/>
    <n v="0"/>
    <n v="0"/>
    <n v="0"/>
    <n v="109.18208333569545"/>
    <m/>
    <n v="10.3740762733597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11058780994239"/>
    <n v="0"/>
    <n v="0"/>
    <n v="0"/>
    <n v="2385.17"/>
    <n v="1"/>
    <m/>
    <m/>
    <m/>
    <m/>
    <m/>
    <m/>
    <m/>
    <m/>
    <m/>
    <n v="3757.9507902108321"/>
    <m/>
    <m/>
    <m/>
    <m/>
    <m/>
    <m/>
    <m/>
    <m/>
    <m/>
    <m/>
    <m/>
    <m/>
    <n v="7154.1804000000002"/>
    <n v="-919.70752000000084"/>
    <m/>
    <m/>
    <m/>
    <m/>
    <n v="-1067.03808"/>
    <n v="148.71168000000023"/>
    <n v="31"/>
    <n v="287.36487731190209"/>
    <n v="0"/>
    <n v="0"/>
    <n v="0"/>
    <n v="0"/>
    <n v="0"/>
    <n v="0"/>
    <n v="0"/>
    <n v="-8.9249556323763954"/>
    <n v="0"/>
    <n v="0"/>
    <n v="148.84926226041398"/>
    <n v="0"/>
    <n v="0"/>
    <n v="0"/>
    <n v="12.40584610308548"/>
    <n v="0"/>
    <n v="117.89757977550823"/>
    <m/>
    <n v="0"/>
    <n v="0"/>
    <n v="0"/>
    <n v="0"/>
    <n v="15.900527020345152"/>
    <n v="1.2366177849264073"/>
    <n v="0"/>
    <n v="0"/>
    <m/>
    <m/>
    <m/>
    <n v="2331.9271753499429"/>
    <n v="0"/>
    <n v="0"/>
    <n v="-1067.0380800000003"/>
    <n v="148.71168000000034"/>
    <n v="0"/>
    <n v="0"/>
    <n v="-1205.5737790282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8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0.31900000000000001"/>
    <n v="0.29986000000000002"/>
    <n v="0.31900000000000001"/>
    <n v="0.29986000000000002"/>
    <m/>
    <n v="395.23"/>
    <n v="297.72000000000003"/>
    <m/>
    <n v="221.05105000000003"/>
    <n v="221.05105000000003"/>
    <n v="195.91384999999997"/>
    <n v="0"/>
    <n v="19.33510624425411"/>
    <n v="0"/>
    <n v="0"/>
    <n v="0"/>
    <n v="31.707803513299098"/>
    <n v="63.84619343386354"/>
    <n v="94.973910375402056"/>
    <n v="0"/>
    <n v="0"/>
    <n v="0"/>
    <n v="0"/>
    <n v="0"/>
    <n v="2.989313082265078"/>
    <m/>
    <n v="0.28403343271094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156033293885253"/>
    <n v="0"/>
    <n v="0"/>
    <n v="0"/>
    <n v="63.27"/>
    <n v="2"/>
    <m/>
    <m/>
    <m/>
    <m/>
    <n v="11.754830999999994"/>
    <m/>
    <m/>
    <m/>
    <m/>
    <n v="102.88951370479059"/>
    <m/>
    <m/>
    <m/>
    <m/>
    <m/>
    <m/>
    <m/>
    <m/>
    <m/>
    <m/>
    <m/>
    <m/>
    <n v="184.24499999999998"/>
    <n v="-23.57298700000004"/>
    <m/>
    <m/>
    <m/>
    <m/>
    <n v="-29.214020000000012"/>
    <n v="4.0768199999999917"/>
    <n v="31"/>
    <n v="7.8678072526860205"/>
    <n v="0"/>
    <n v="0"/>
    <n v="0"/>
    <n v="0"/>
    <n v="0"/>
    <n v="0"/>
    <n v="0"/>
    <n v="-0.24435773540307082"/>
    <n v="0"/>
    <n v="0"/>
    <n v="4.075366885906206"/>
    <n v="0"/>
    <n v="0"/>
    <n v="0"/>
    <n v="0.33966157193115354"/>
    <n v="0"/>
    <n v="3.2279360021617833"/>
    <m/>
    <n v="0"/>
    <n v="0"/>
    <n v="0"/>
    <n v="0"/>
    <n v="0.43534297922016085"/>
    <n v="3.3857548869774878E-2"/>
    <n v="0"/>
    <n v="0"/>
    <m/>
    <m/>
    <m/>
    <n v="63.84619343386354"/>
    <n v="0"/>
    <n v="0"/>
    <n v="-29.214020000000019"/>
    <n v="4.0768199999999837"/>
    <n v="0"/>
    <n v="0"/>
    <n v="-33.00759024907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89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.1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190"/>
    <s v="Regular"/>
    <s v="Convencional"/>
    <s v="B2"/>
    <s v="Rural"/>
    <s v="Agropecuária rural"/>
    <s v="IRRIG./AQUIC."/>
    <s v="Não se aplica"/>
    <s v="Não se aplica"/>
    <s v="CATIVO"/>
    <x v="8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0"/>
    <n v="0"/>
    <m/>
    <m/>
    <m/>
    <m/>
    <m/>
    <n v="8.5849999999999973"/>
    <m/>
    <m/>
    <m/>
    <n v="32.253766051658488"/>
    <m/>
    <m/>
    <m/>
    <m/>
    <m/>
    <m/>
    <m/>
    <m/>
    <m/>
    <m/>
    <m/>
    <m/>
    <n v="52.83"/>
    <n v="-6.5990000000000038"/>
    <m/>
    <m/>
    <m/>
    <m/>
    <n v="-9.1580000000000048"/>
    <n v="1.2779999999999974"/>
    <n v="31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2"/>
    <s v="Regular"/>
    <s v="Convencional"/>
    <s v="B1"/>
    <s v="Residencial"/>
    <s v="Residencial"/>
    <s v="Não se aplica"/>
    <s v="Não se aplica"/>
    <s v="Não se aplica"/>
    <s v="CATIVO"/>
    <x v="9"/>
    <n v="0"/>
    <n v="0"/>
    <n v="36.295000000000002"/>
    <n v="36.295000000000002"/>
    <n v="36.295000000000002"/>
    <n v="36.295000000000002"/>
    <m/>
    <n v="395.23"/>
    <n v="297.72000000000003"/>
    <m/>
    <n v="25150.620250000004"/>
    <n v="25150.620250000004"/>
    <n v="22290.574249999998"/>
    <n v="0"/>
    <n v="2199.8986869442101"/>
    <n v="0"/>
    <n v="0"/>
    <n v="0"/>
    <n v="3607.6323777905668"/>
    <n v="7264.2557701632513"/>
    <n v="10805.887388950527"/>
    <n v="0"/>
    <n v="0"/>
    <n v="0"/>
    <n v="0"/>
    <n v="0"/>
    <n v="340.1163583724483"/>
    <m/>
    <n v="32.316593856563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0.61699949892329"/>
    <n v="0"/>
    <n v="0"/>
    <n v="0"/>
    <n v="4261.6499999999996"/>
    <n v="262"/>
    <m/>
    <m/>
    <m/>
    <m/>
    <m/>
    <m/>
    <m/>
    <m/>
    <m/>
    <n v="11706.50438844945"/>
    <m/>
    <m/>
    <m/>
    <m/>
    <m/>
    <m/>
    <m/>
    <m/>
    <m/>
    <m/>
    <m/>
    <m/>
    <n v="22293.644999999997"/>
    <n v="-2857.0052500000056"/>
    <m/>
    <m/>
    <m/>
    <m/>
    <n v="-3323.8961000000018"/>
    <n v="463.85009999999903"/>
    <n v="30"/>
    <n v="895.17888475309519"/>
    <n v="0"/>
    <n v="0"/>
    <n v="0"/>
    <n v="0"/>
    <n v="0"/>
    <n v="0"/>
    <n v="0"/>
    <n v="-27.802395004559457"/>
    <n v="0"/>
    <n v="0"/>
    <n v="463.68476841368465"/>
    <n v="0"/>
    <n v="0"/>
    <n v="0"/>
    <n v="38.645820543075956"/>
    <n v="0"/>
    <n v="367.2662608102255"/>
    <m/>
    <n v="0"/>
    <n v="0"/>
    <n v="0"/>
    <n v="0"/>
    <n v="49.532205112212353"/>
    <n v="3.8522248784591824"/>
    <n v="0"/>
    <n v="0"/>
    <m/>
    <m/>
    <m/>
    <n v="7264.2557701632513"/>
    <n v="0"/>
    <n v="0"/>
    <n v="-3323.8961000000018"/>
    <n v="463.85009999999784"/>
    <n v="0"/>
    <n v="0"/>
    <n v="-3755.5187714424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3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40.51"/>
    <n v="1"/>
    <m/>
    <m/>
    <m/>
    <m/>
    <m/>
    <m/>
    <m/>
    <m/>
    <m/>
    <n v="32.253766051658488"/>
    <m/>
    <m/>
    <m/>
    <m/>
    <m/>
    <m/>
    <m/>
    <m/>
    <m/>
    <m/>
    <m/>
    <m/>
    <n v="61.414999999999999"/>
    <n v="-7.9100000000000037"/>
    <m/>
    <m/>
    <m/>
    <m/>
    <n v="-9.1580000000000048"/>
    <n v="1.2779999999999974"/>
    <n v="30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4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3"/>
    <n v="0.3"/>
    <n v="0.3"/>
    <n v="0.3"/>
    <m/>
    <n v="325.25"/>
    <n v="297.72000000000003"/>
    <m/>
    <n v="186.89100000000002"/>
    <n v="186.89100000000002"/>
    <n v="159.80399999999997"/>
    <n v="0"/>
    <n v="0"/>
    <n v="0"/>
    <n v="0"/>
    <n v="0"/>
    <n v="29.819250952945858"/>
    <n v="60.043442100812101"/>
    <n v="89.3171570928546"/>
    <n v="0"/>
    <n v="0"/>
    <n v="0"/>
    <n v="0"/>
    <n v="0"/>
    <n v="0"/>
    <m/>
    <n v="0.2671160809193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3"/>
    <n v="0"/>
    <n v="0"/>
    <n v="0"/>
    <n v="7.3"/>
    <n v="2"/>
    <m/>
    <m/>
    <m/>
    <m/>
    <m/>
    <m/>
    <m/>
    <n v="103.875"/>
    <m/>
    <n v="96.761298154975464"/>
    <m/>
    <m/>
    <m/>
    <m/>
    <m/>
    <m/>
    <m/>
    <m/>
    <m/>
    <m/>
    <m/>
    <m/>
    <n v="55.929000000000002"/>
    <n v="-9.512999999999991"/>
    <m/>
    <m/>
    <m/>
    <m/>
    <n v="-30.920999999999996"/>
    <n v="3.8339999999999916"/>
    <n v="30"/>
    <n v="3.9541018225430093"/>
    <n v="0"/>
    <n v="0"/>
    <n v="0"/>
    <n v="0"/>
    <n v="0"/>
    <n v="0"/>
    <n v="0"/>
    <n v="-0.22980351291824874"/>
    <n v="0"/>
    <n v="0"/>
    <n v="3.8326334350215063"/>
    <n v="0"/>
    <n v="0"/>
    <n v="0"/>
    <n v="0.31943094538979899"/>
    <n v="0"/>
    <n v="0"/>
    <m/>
    <n v="0"/>
    <n v="0"/>
    <n v="0"/>
    <n v="0"/>
    <n v="0"/>
    <n v="3.1840955049944997E-2"/>
    <n v="0"/>
    <n v="0"/>
    <m/>
    <m/>
    <m/>
    <n v="60.043442100812101"/>
    <n v="0"/>
    <n v="0"/>
    <n v="-30.921000000000006"/>
    <n v="3.833999999999989"/>
    <n v="0"/>
    <n v="0"/>
    <n v="-31.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5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.48099999999999998"/>
    <n v="0.48099999999999998"/>
    <n v="0.48099999999999998"/>
    <n v="0.48099999999999998"/>
    <m/>
    <n v="325.25"/>
    <n v="297.72000000000003"/>
    <m/>
    <n v="299.64857000000001"/>
    <n v="299.64857000000001"/>
    <n v="256.21907999999996"/>
    <n v="0"/>
    <n v="0"/>
    <n v="0"/>
    <n v="0"/>
    <n v="0"/>
    <n v="47.810199027889858"/>
    <n v="96.269652168302073"/>
    <n v="143.20517520554353"/>
    <n v="0"/>
    <n v="0"/>
    <n v="0"/>
    <n v="0"/>
    <n v="0"/>
    <n v="0"/>
    <m/>
    <n v="0.42827611640741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935439502933795"/>
    <n v="0"/>
    <n v="0"/>
    <n v="0"/>
    <n v="20.34"/>
    <n v="2"/>
    <m/>
    <m/>
    <m/>
    <m/>
    <m/>
    <m/>
    <m/>
    <n v="102.48667"/>
    <m/>
    <n v="155.14061470847733"/>
    <m/>
    <m/>
    <m/>
    <m/>
    <m/>
    <m/>
    <m/>
    <m/>
    <m/>
    <m/>
    <m/>
    <m/>
    <n v="153.4128"/>
    <n v="-26.40537999999998"/>
    <m/>
    <m/>
    <m/>
    <m/>
    <n v="-49.576669999999993"/>
    <n v="6.1471799999999863"/>
    <n v="30"/>
    <n v="6.3397432554772877"/>
    <n v="0"/>
    <n v="0"/>
    <n v="0"/>
    <n v="0"/>
    <n v="0"/>
    <n v="0"/>
    <n v="0"/>
    <n v="-0.36845163237892109"/>
    <n v="0"/>
    <n v="0"/>
    <n v="6.1449889408178251"/>
    <n v="0"/>
    <n v="0"/>
    <n v="0"/>
    <n v="0.51215428244164585"/>
    <n v="0"/>
    <n v="0"/>
    <m/>
    <n v="0"/>
    <n v="0"/>
    <n v="0"/>
    <n v="0"/>
    <n v="0"/>
    <n v="5.1051664596745205E-2"/>
    <n v="0"/>
    <n v="0"/>
    <m/>
    <m/>
    <m/>
    <n v="96.269652168302073"/>
    <n v="0"/>
    <n v="0"/>
    <n v="-49.576669999999993"/>
    <n v="6.1471799999999632"/>
    <n v="0"/>
    <n v="0"/>
    <n v="-49.770065547976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6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.69599999999999995"/>
    <n v="0.69599999999999995"/>
    <n v="0.69599999999999995"/>
    <n v="0.69599999999999995"/>
    <m/>
    <n v="325.25"/>
    <n v="297.72000000000003"/>
    <m/>
    <n v="433.58712000000003"/>
    <n v="433.58712000000003"/>
    <n v="370.74527999999998"/>
    <n v="0"/>
    <n v="0"/>
    <n v="0"/>
    <n v="0"/>
    <n v="0"/>
    <n v="69.180662210834384"/>
    <n v="139.30078567388406"/>
    <n v="207.21580445542264"/>
    <n v="0"/>
    <n v="0"/>
    <n v="0"/>
    <n v="0"/>
    <n v="0"/>
    <n v="0"/>
    <m/>
    <n v="0.61970930773297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70407264120418"/>
    <n v="0"/>
    <n v="0"/>
    <n v="0"/>
    <n v="80.34"/>
    <n v="2"/>
    <m/>
    <m/>
    <m/>
    <m/>
    <m/>
    <m/>
    <m/>
    <n v="37.075920000000004"/>
    <m/>
    <n v="224.48621171954306"/>
    <m/>
    <m/>
    <m/>
    <m/>
    <m/>
    <m/>
    <m/>
    <m/>
    <m/>
    <m/>
    <m/>
    <m/>
    <n v="335.58699999999999"/>
    <n v="-54.669319999999971"/>
    <m/>
    <m/>
    <m/>
    <m/>
    <n v="-71.736719999999991"/>
    <n v="8.894879999999981"/>
    <n v="30"/>
    <n v="9.173516228299718"/>
    <n v="0"/>
    <n v="0"/>
    <n v="0"/>
    <n v="0"/>
    <n v="0"/>
    <n v="0"/>
    <n v="0"/>
    <n v="-0.533144149970326"/>
    <n v="0"/>
    <n v="0"/>
    <n v="8.8917095692499117"/>
    <n v="0"/>
    <n v="0"/>
    <n v="0"/>
    <n v="0.74107979330433338"/>
    <n v="0"/>
    <n v="0"/>
    <m/>
    <n v="0"/>
    <n v="0"/>
    <n v="0"/>
    <n v="0"/>
    <n v="0"/>
    <n v="7.3871015715872401E-2"/>
    <n v="0"/>
    <n v="0"/>
    <m/>
    <m/>
    <m/>
    <n v="139.30078567388406"/>
    <n v="0"/>
    <n v="0"/>
    <n v="-71.736719999999991"/>
    <n v="8.8948799999999721"/>
    <n v="0"/>
    <n v="0"/>
    <n v="-72.01656054343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7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62"/>
    <n v="0.62"/>
    <n v="0.62"/>
    <n v="0.62"/>
    <m/>
    <n v="325.25"/>
    <n v="297.72000000000003"/>
    <m/>
    <n v="386.2414"/>
    <n v="386.2414"/>
    <n v="330.26159999999999"/>
    <n v="0"/>
    <n v="0"/>
    <n v="0"/>
    <n v="0"/>
    <n v="0"/>
    <n v="61.626451969421439"/>
    <n v="124.08978034167835"/>
    <n v="184.58879132523285"/>
    <n v="0"/>
    <n v="0"/>
    <n v="0"/>
    <n v="0"/>
    <n v="0"/>
    <n v="0"/>
    <m/>
    <n v="0.55203990056672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384558195049799"/>
    <n v="0"/>
    <n v="0"/>
    <n v="0"/>
    <n v="106.66"/>
    <n v="4"/>
    <m/>
    <m/>
    <m/>
    <m/>
    <m/>
    <m/>
    <m/>
    <m/>
    <m/>
    <n v="199.97334952028265"/>
    <m/>
    <m/>
    <m/>
    <m/>
    <m/>
    <m/>
    <m/>
    <m/>
    <m/>
    <m/>
    <m/>
    <m/>
    <n v="330.26159999999999"/>
    <n v="-56.009799999999984"/>
    <m/>
    <m/>
    <m/>
    <m/>
    <n v="-63.903399999999998"/>
    <n v="7.9235999999999827"/>
    <n v="30"/>
    <n v="8.1718104332555299"/>
    <n v="0"/>
    <n v="0"/>
    <n v="0"/>
    <n v="0"/>
    <n v="0"/>
    <n v="0"/>
    <n v="0"/>
    <n v="-0.4749272600310448"/>
    <n v="0"/>
    <n v="0"/>
    <n v="7.9207757657111131"/>
    <n v="0"/>
    <n v="0"/>
    <n v="0"/>
    <n v="0.66015728713891875"/>
    <n v="0"/>
    <n v="0"/>
    <m/>
    <n v="0"/>
    <n v="0"/>
    <n v="0"/>
    <n v="0"/>
    <n v="0"/>
    <n v="6.5804640436552986E-2"/>
    <n v="0"/>
    <n v="0"/>
    <m/>
    <m/>
    <m/>
    <n v="124.08978034167835"/>
    <n v="0"/>
    <n v="0"/>
    <n v="-63.903400000000005"/>
    <n v="7.9235999999999649"/>
    <n v="0"/>
    <n v="0"/>
    <n v="-64.152683242713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8"/>
    <s v="Regular"/>
    <s v="Convencional"/>
    <s v="B3"/>
    <s v="Industrial"/>
    <s v="Não se aplica"/>
    <s v="Não se aplica"/>
    <s v="Não se aplica"/>
    <s v="Não se aplica"/>
    <s v="CATIVO"/>
    <x v="9"/>
    <n v="0"/>
    <n v="0"/>
    <n v="2.944"/>
    <n v="2.944"/>
    <n v="2.944"/>
    <n v="2.944"/>
    <m/>
    <n v="395.23"/>
    <n v="297.72000000000003"/>
    <m/>
    <n v="2040.0448000000001"/>
    <n v="2040.0448000000001"/>
    <n v="1808.0575999999999"/>
    <n v="0"/>
    <n v="178.44060433568683"/>
    <n v="0"/>
    <n v="0"/>
    <n v="0"/>
    <n v="292.62624935157538"/>
    <n v="589.22631181596944"/>
    <n v="876.49903493787974"/>
    <n v="0"/>
    <n v="0"/>
    <n v="0"/>
    <n v="0"/>
    <n v="0"/>
    <n v="27.587892520966736"/>
    <m/>
    <n v="2.6212991407555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051837622946138"/>
    <n v="0"/>
    <n v="0"/>
    <n v="0"/>
    <n v="584.04999999999995"/>
    <n v="2"/>
    <m/>
    <m/>
    <m/>
    <m/>
    <m/>
    <m/>
    <m/>
    <m/>
    <m/>
    <n v="949.55087256082584"/>
    <m/>
    <m/>
    <m/>
    <m/>
    <m/>
    <m/>
    <m/>
    <m/>
    <m/>
    <m/>
    <m/>
    <m/>
    <n v="1805.6009999999999"/>
    <n v="-234.47380000000021"/>
    <m/>
    <m/>
    <m/>
    <m/>
    <n v="-269.6115200000001"/>
    <n v="37.624319999999919"/>
    <n v="30"/>
    <n v="72.610735272437751"/>
    <n v="0"/>
    <n v="0"/>
    <n v="0"/>
    <n v="0"/>
    <n v="0"/>
    <n v="0"/>
    <n v="0"/>
    <n v="-2.2551384734377393"/>
    <n v="0"/>
    <n v="0"/>
    <n v="37.61090944234445"/>
    <n v="0"/>
    <n v="0"/>
    <n v="0"/>
    <n v="3.1346823440918996"/>
    <n v="0"/>
    <n v="29.790105298947623"/>
    <m/>
    <n v="0"/>
    <n v="0"/>
    <n v="0"/>
    <n v="0"/>
    <n v="4.0177107549346509"/>
    <n v="0.31246590555679399"/>
    <n v="0"/>
    <n v="0"/>
    <m/>
    <m/>
    <m/>
    <n v="589.22631181596944"/>
    <n v="0"/>
    <n v="0"/>
    <n v="-269.61152000000004"/>
    <n v="37.624319999999898"/>
    <n v="0"/>
    <n v="0"/>
    <n v="-304.62177333314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199"/>
    <s v="Regular"/>
    <s v="Azul"/>
    <s v="A4"/>
    <s v="Industrial"/>
    <s v="Não se aplica"/>
    <s v="Não se aplica"/>
    <s v="Não se aplica"/>
    <s v="Ponta"/>
    <s v="CATIVO"/>
    <x v="9"/>
    <n v="715"/>
    <n v="715"/>
    <n v="29.943999999999999"/>
    <n v="29.943999999999999"/>
    <n v="29.943999999999999"/>
    <n v="29.943999999999999"/>
    <n v="78.569999999999993"/>
    <n v="72.290000000000006"/>
    <n v="297.72000000000003"/>
    <n v="56177.549999999996"/>
    <n v="11079.579440000001"/>
    <n v="67257.12943999999"/>
    <n v="50019.367359999997"/>
    <n v="0"/>
    <n v="1579.0102401216698"/>
    <n v="0"/>
    <n v="0"/>
    <n v="0"/>
    <n v="21794.517656357159"/>
    <n v="34384.966773572196"/>
    <n v="8915.0431732947927"/>
    <n v="0"/>
    <n v="0"/>
    <n v="0"/>
    <n v="0"/>
    <n v="0"/>
    <n v="280.60185246189809"/>
    <m/>
    <n v="18.054848698882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.87707451014012"/>
    <n v="0"/>
    <n v="0"/>
    <n v="0"/>
    <n v="0"/>
    <n v="0"/>
    <m/>
    <m/>
    <m/>
    <m/>
    <m/>
    <m/>
    <m/>
    <m/>
    <m/>
    <n v="9201.9202478049338"/>
    <m/>
    <m/>
    <m/>
    <m/>
    <m/>
    <m/>
    <m/>
    <m/>
    <m/>
    <m/>
    <m/>
    <m/>
    <n v="50017.793599999997"/>
    <n v="-17239.365840000006"/>
    <m/>
    <m/>
    <m/>
    <m/>
    <n v="-17620.446399999997"/>
    <n v="382.68431999999916"/>
    <n v="30"/>
    <n v="533.5253792294825"/>
    <n v="0"/>
    <n v="0"/>
    <n v="0"/>
    <n v="0"/>
    <n v="0"/>
    <n v="0"/>
    <n v="0"/>
    <n v="-167.96051408843778"/>
    <n v="0"/>
    <n v="0"/>
    <n v="382.54791859428042"/>
    <n v="0"/>
    <n v="0"/>
    <n v="0"/>
    <n v="12.310005191562823"/>
    <n v="0"/>
    <n v="263.6108608601769"/>
    <m/>
    <n v="0"/>
    <n v="0"/>
    <n v="0"/>
    <n v="0"/>
    <n v="40.864922162283676"/>
    <n v="2.1521865096102886"/>
    <n v="0"/>
    <n v="0"/>
    <m/>
    <m/>
    <n v="34384.966773572196"/>
    <n v="0"/>
    <n v="0"/>
    <n v="0"/>
    <n v="-17620.446400000001"/>
    <n v="382.68431999999848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0"/>
    <s v="Regular"/>
    <s v="Azul"/>
    <s v="A4"/>
    <s v="Industrial"/>
    <s v="Não se aplica"/>
    <s v="Não se aplica"/>
    <s v="Não se aplica"/>
    <s v="Fora ponta"/>
    <s v="CATIVO"/>
    <x v="9"/>
    <n v="715"/>
    <n v="715"/>
    <n v="224.15799999999999"/>
    <n v="224.15799999999999"/>
    <n v="224.15799999999999"/>
    <n v="224.15799999999999"/>
    <n v="25.76"/>
    <n v="72.290000000000006"/>
    <n v="297.72000000000003"/>
    <n v="18418.400000000001"/>
    <n v="82940.701579999994"/>
    <n v="101359.10158"/>
    <n v="101577.52351999999"/>
    <n v="0"/>
    <n v="11820.323851362318"/>
    <n v="0"/>
    <n v="0"/>
    <n v="0"/>
    <n v="8809.0697848288128"/>
    <n v="9608.3573567757503"/>
    <n v="66737.184332067001"/>
    <n v="0"/>
    <n v="0"/>
    <n v="0"/>
    <n v="0"/>
    <n v="0"/>
    <n v="2100.5593789792329"/>
    <m/>
    <n v="135.15691873644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7.5351078026983"/>
    <n v="0"/>
    <n v="0"/>
    <n v="0"/>
    <n v="0"/>
    <n v="0"/>
    <m/>
    <m/>
    <m/>
    <m/>
    <m/>
    <m/>
    <m/>
    <m/>
    <m/>
    <n v="68884.719439869703"/>
    <m/>
    <m/>
    <m/>
    <m/>
    <m/>
    <m/>
    <m/>
    <m/>
    <m/>
    <m/>
    <m/>
    <m/>
    <n v="101578.31039999999"/>
    <n v="219.17881999998644"/>
    <m/>
    <m/>
    <m/>
    <m/>
    <n v="-2646.3173000000043"/>
    <n v="2864.7392399999935"/>
    <n v="30"/>
    <n v="5183.3706514845544"/>
    <n v="0"/>
    <n v="0"/>
    <n v="0"/>
    <n v="0"/>
    <n v="0"/>
    <n v="0"/>
    <n v="0"/>
    <n v="-67.88752625912457"/>
    <n v="0"/>
    <n v="0"/>
    <n v="2863.7181517584977"/>
    <n v="0"/>
    <n v="0"/>
    <n v="0"/>
    <n v="92.151554359147667"/>
    <n v="0"/>
    <n v="1973.3663955615648"/>
    <m/>
    <n v="0"/>
    <n v="0"/>
    <n v="0"/>
    <n v="0"/>
    <n v="305.91100794994645"/>
    <n v="16.111068114521203"/>
    <n v="0"/>
    <n v="0"/>
    <m/>
    <m/>
    <n v="9608.3573567757503"/>
    <n v="0"/>
    <n v="0"/>
    <n v="0"/>
    <n v="-2646.3173000000061"/>
    <n v="2864.7392399999953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1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8785.2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202"/>
    <s v="Regular"/>
    <s v="Verde"/>
    <s v="A4"/>
    <s v="Industrial"/>
    <s v="Não se aplica"/>
    <s v="Não se aplica"/>
    <s v="Não se aplica"/>
    <s v="Ponta"/>
    <s v="CATIVO"/>
    <x v="9"/>
    <n v="0"/>
    <n v="0"/>
    <n v="47.128"/>
    <n v="47.128"/>
    <n v="47.128"/>
    <n v="47.128"/>
    <m/>
    <n v="1962.25"/>
    <n v="297.72000000000003"/>
    <m/>
    <n v="106507.86616000001"/>
    <n v="106507.86616000001"/>
    <n v="79166.085680000004"/>
    <n v="0"/>
    <n v="2485.158782943296"/>
    <n v="0"/>
    <n v="0"/>
    <n v="0"/>
    <n v="34562.80096237098"/>
    <n v="54507.608721213845"/>
    <n v="14031.129931573505"/>
    <n v="0"/>
    <n v="0"/>
    <n v="0"/>
    <n v="0"/>
    <n v="0"/>
    <n v="441.63118163319308"/>
    <m/>
    <n v="28.416006862173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50757305349606"/>
    <n v="0"/>
    <n v="0"/>
    <n v="0"/>
    <n v="0"/>
    <n v="0"/>
    <m/>
    <m/>
    <m/>
    <m/>
    <m/>
    <m/>
    <m/>
    <m/>
    <m/>
    <n v="14482.637504627"/>
    <m/>
    <m/>
    <m/>
    <m/>
    <m/>
    <m/>
    <m/>
    <m/>
    <m/>
    <m/>
    <m/>
    <m/>
    <n v="79169.445300000007"/>
    <n v="-27338.450859999983"/>
    <m/>
    <m/>
    <m/>
    <m/>
    <n v="-27944.076320000004"/>
    <n v="602.29583999999875"/>
    <n v="30"/>
    <n v="837.6885505467435"/>
    <n v="0"/>
    <n v="0"/>
    <n v="0"/>
    <n v="0"/>
    <n v="0"/>
    <n v="0"/>
    <n v="0"/>
    <n v="-266.35991259400907"/>
    <n v="0"/>
    <n v="0"/>
    <n v="602.08116175231225"/>
    <n v="0"/>
    <n v="0"/>
    <n v="0"/>
    <n v="19.374362966469732"/>
    <n v="0"/>
    <n v="414.88954884512441"/>
    <m/>
    <n v="0"/>
    <n v="0"/>
    <n v="0"/>
    <n v="0"/>
    <n v="64.316125155760972"/>
    <n v="3.3872644210831453"/>
    <n v="0"/>
    <n v="0"/>
    <m/>
    <m/>
    <m/>
    <n v="54507.608721213845"/>
    <n v="0"/>
    <n v="0"/>
    <n v="-27944.076320000007"/>
    <n v="602.29583999999886"/>
    <n v="0"/>
    <n v="0"/>
    <n v="-28179.672387052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3"/>
    <s v="Regular"/>
    <s v="Verde"/>
    <s v="A4"/>
    <s v="Industrial"/>
    <s v="Não se aplica"/>
    <s v="Não se aplica"/>
    <s v="Não se aplica"/>
    <s v="Fora ponta"/>
    <s v="CATIVO"/>
    <x v="9"/>
    <n v="0"/>
    <n v="0"/>
    <n v="645.54300000000001"/>
    <n v="645.54300000000001"/>
    <n v="645.54300000000001"/>
    <n v="645.54300000000001"/>
    <m/>
    <n v="72.290000000000006"/>
    <n v="297.72000000000003"/>
    <m/>
    <n v="238857.36543000003"/>
    <n v="238857.36543000003"/>
    <n v="253982.43792"/>
    <n v="0"/>
    <n v="34040.843155185117"/>
    <n v="0"/>
    <n v="0"/>
    <n v="0"/>
    <n v="0"/>
    <n v="0"/>
    <n v="192193.55180397545"/>
    <n v="0"/>
    <n v="0"/>
    <n v="0"/>
    <n v="0"/>
    <n v="0"/>
    <n v="6049.3107682277277"/>
    <m/>
    <n v="389.23260732108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84.5941527684818"/>
    <n v="0"/>
    <n v="0"/>
    <n v="0"/>
    <n v="0"/>
    <n v="0"/>
    <m/>
    <m/>
    <m/>
    <m/>
    <m/>
    <m/>
    <m/>
    <m/>
    <m/>
    <n v="198378.14595674395"/>
    <m/>
    <m/>
    <m/>
    <m/>
    <m/>
    <m/>
    <m/>
    <m/>
    <m/>
    <m/>
    <m/>
    <m/>
    <n v="253981.25759999998"/>
    <n v="15123.862169999949"/>
    <m/>
    <m/>
    <m/>
    <m/>
    <n v="6875.0329499999943"/>
    <n v="8250.0395399999816"/>
    <n v="30"/>
    <n v="15122.872963870061"/>
    <n v="0"/>
    <n v="0"/>
    <n v="0"/>
    <n v="0"/>
    <n v="0"/>
    <n v="0"/>
    <n v="0"/>
    <n v="0"/>
    <n v="0"/>
    <n v="0"/>
    <n v="8247.0989518136194"/>
    <n v="0"/>
    <n v="0"/>
    <n v="0"/>
    <n v="265.38330488167867"/>
    <n v="0"/>
    <n v="5683.0131563004616"/>
    <m/>
    <n v="0"/>
    <n v="0"/>
    <n v="0"/>
    <n v="0"/>
    <n v="880.97997753830896"/>
    <n v="46.397573336005678"/>
    <n v="0"/>
    <n v="0"/>
    <m/>
    <m/>
    <m/>
    <n v="0"/>
    <n v="0"/>
    <n v="0"/>
    <n v="6875.0329499999934"/>
    <n v="8250.0395399999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4"/>
    <s v="Regular"/>
    <s v="Verde"/>
    <s v="A4"/>
    <s v="Industrial"/>
    <s v="Não se aplica"/>
    <s v="Não se aplica"/>
    <s v="Não se aplica"/>
    <s v="Não se aplica"/>
    <s v="CATIVO"/>
    <x v="9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2949.17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0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205"/>
    <s v="Regular"/>
    <s v="Convencional"/>
    <s v="B3"/>
    <s v="Comercial"/>
    <s v="Não se aplica"/>
    <s v="Não se aplica"/>
    <s v="Não se aplica"/>
    <s v="Não se aplica"/>
    <s v="CATIVO"/>
    <x v="9"/>
    <n v="0"/>
    <n v="0"/>
    <n v="20.518000000000001"/>
    <n v="20.518000000000001"/>
    <n v="20.518000000000001"/>
    <n v="20.518000000000001"/>
    <m/>
    <n v="395.23"/>
    <n v="297.72000000000003"/>
    <m/>
    <n v="14217.948100000001"/>
    <n v="14217.948100000001"/>
    <n v="12601.1297"/>
    <n v="0"/>
    <n v="1243.6291847009588"/>
    <n v="0"/>
    <n v="0"/>
    <n v="0"/>
    <n v="2039.4379701751438"/>
    <n v="4106.5711500815423"/>
    <n v="6108.6980974373027"/>
    <n v="0"/>
    <n v="0"/>
    <n v="0"/>
    <n v="0"/>
    <n v="0"/>
    <n v="192.27186778029738"/>
    <m/>
    <n v="18.2689591610131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.12962104198675"/>
    <n v="0"/>
    <n v="0"/>
    <n v="0"/>
    <n v="3863.45"/>
    <n v="47"/>
    <m/>
    <m/>
    <m/>
    <m/>
    <m/>
    <m/>
    <m/>
    <m/>
    <m/>
    <n v="6617.8277184792896"/>
    <m/>
    <m/>
    <m/>
    <m/>
    <m/>
    <m/>
    <m/>
    <m/>
    <m/>
    <m/>
    <m/>
    <m/>
    <n v="12602.358"/>
    <n v="-1615.6201000000019"/>
    <m/>
    <m/>
    <m/>
    <m/>
    <n v="-1879.0384400000009"/>
    <n v="262.22003999999947"/>
    <n v="30"/>
    <n v="506.05538937495839"/>
    <n v="0"/>
    <n v="0"/>
    <n v="0"/>
    <n v="0"/>
    <n v="0"/>
    <n v="0"/>
    <n v="0"/>
    <n v="-15.717028260188727"/>
    <n v="0"/>
    <n v="0"/>
    <n v="262.12657606590346"/>
    <n v="0"/>
    <n v="0"/>
    <n v="0"/>
    <n v="21.846947125026304"/>
    <n v="0"/>
    <n v="207.620034145315"/>
    <m/>
    <n v="0"/>
    <n v="0"/>
    <n v="0"/>
    <n v="0"/>
    <n v="28.001151246518077"/>
    <n v="2.1777090523825713"/>
    <n v="0"/>
    <n v="0"/>
    <m/>
    <m/>
    <m/>
    <n v="4106.5711500815423"/>
    <n v="0"/>
    <n v="0"/>
    <n v="-1879.0384400000012"/>
    <n v="262.22003999999924"/>
    <n v="0"/>
    <n v="0"/>
    <n v="-2123.0399270548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6"/>
    <s v="Regular"/>
    <s v="Convencional"/>
    <s v="B2"/>
    <s v="Rural"/>
    <s v="Não se aplica"/>
    <s v="Não se aplica"/>
    <s v="Não se aplica"/>
    <s v="Não se aplica"/>
    <s v="CATIVO"/>
    <x v="9"/>
    <n v="0"/>
    <n v="0"/>
    <n v="386.99599999999998"/>
    <n v="386.99599999999998"/>
    <n v="386.99599999999998"/>
    <n v="386.99599999999998"/>
    <m/>
    <n v="395.23"/>
    <n v="297.72000000000003"/>
    <m/>
    <n v="268168.87820000004"/>
    <n v="268168.87820000004"/>
    <n v="237673.59339999995"/>
    <n v="0"/>
    <n v="23456.453843577943"/>
    <n v="0"/>
    <n v="0"/>
    <n v="0"/>
    <n v="38466.436139287449"/>
    <n v="77455.239730819594"/>
    <n v="115217.94175435451"/>
    <n v="0"/>
    <n v="0"/>
    <n v="0"/>
    <n v="0"/>
    <n v="0"/>
    <n v="3626.4959422703951"/>
    <m/>
    <n v="344.57618283826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02.8427149217605"/>
    <n v="0"/>
    <n v="1.21"/>
    <n v="5.69"/>
    <n v="51931.41"/>
    <n v="946"/>
    <m/>
    <m/>
    <m/>
    <m/>
    <m/>
    <n v="28521.605199999991"/>
    <m/>
    <m/>
    <m/>
    <n v="124820.78446927627"/>
    <m/>
    <m/>
    <m/>
    <m/>
    <m/>
    <m/>
    <m/>
    <m/>
    <m/>
    <m/>
    <m/>
    <m/>
    <n v="209154.15"/>
    <n v="-26836.040800000017"/>
    <m/>
    <m/>
    <m/>
    <m/>
    <n v="-35441.093680000013"/>
    <n v="4945.8088799999896"/>
    <n v="30"/>
    <n v="9544.8587321644882"/>
    <n v="0"/>
    <n v="0"/>
    <n v="0"/>
    <n v="0"/>
    <n v="0"/>
    <n v="0"/>
    <n v="0"/>
    <n v="-296.44346761769702"/>
    <n v="0"/>
    <n v="0"/>
    <n v="4944.0460293986107"/>
    <n v="0"/>
    <n v="0"/>
    <n v="0"/>
    <n v="412.06166047356965"/>
    <n v="0"/>
    <n v="3915.9821977824467"/>
    <m/>
    <n v="0"/>
    <n v="0"/>
    <n v="0"/>
    <n v="0"/>
    <n v="528.13790465920192"/>
    <n v="41.074407468361699"/>
    <n v="0"/>
    <n v="0"/>
    <m/>
    <m/>
    <m/>
    <n v="77455.239730819594"/>
    <n v="0"/>
    <n v="0"/>
    <n v="-35441.09368000002"/>
    <n v="4945.8088799999823"/>
    <n v="0"/>
    <n v="0"/>
    <n v="-40043.27710354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7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49.85"/>
    <n v="49.85"/>
    <n v="49.85"/>
    <n v="49.85"/>
    <m/>
    <n v="395.23"/>
    <n v="297.72000000000003"/>
    <m/>
    <n v="34543.557500000003"/>
    <n v="34543.557500000003"/>
    <n v="30615.377500000002"/>
    <n v="0"/>
    <n v="3021.4891732792084"/>
    <n v="0"/>
    <n v="0"/>
    <n v="0"/>
    <n v="4954.9655333478368"/>
    <n v="9977.218629084944"/>
    <n v="14841.534270262673"/>
    <n v="0"/>
    <n v="0"/>
    <n v="0"/>
    <n v="0"/>
    <n v="0"/>
    <n v="467.13873715020105"/>
    <m/>
    <n v="44.38578877943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6.9681064890847"/>
    <n v="0"/>
    <n v="0"/>
    <n v="0"/>
    <n v="14050.84"/>
    <n v="27"/>
    <m/>
    <m/>
    <m/>
    <m/>
    <m/>
    <n v="3673.9449999999997"/>
    <m/>
    <m/>
    <m/>
    <n v="16078.502376751758"/>
    <m/>
    <m/>
    <m/>
    <m/>
    <m/>
    <m/>
    <m/>
    <m/>
    <m/>
    <m/>
    <m/>
    <m/>
    <n v="26941.432500000003"/>
    <n v="-3457.1274999999951"/>
    <m/>
    <m/>
    <m/>
    <m/>
    <n v="-4565.2630000000017"/>
    <n v="637.08299999999861"/>
    <n v="30"/>
    <n v="1229.4990330608052"/>
    <n v="0"/>
    <n v="0"/>
    <n v="0"/>
    <n v="0"/>
    <n v="0"/>
    <n v="0"/>
    <n v="0"/>
    <n v="-38.185683729915581"/>
    <n v="0"/>
    <n v="0"/>
    <n v="636.85592245273983"/>
    <n v="0"/>
    <n v="0"/>
    <n v="0"/>
    <n v="53.078775425605045"/>
    <n v="0"/>
    <n v="504.42824359800898"/>
    <m/>
    <n v="0"/>
    <n v="0"/>
    <n v="0"/>
    <n v="0"/>
    <n v="68.030869950235171"/>
    <n v="5.2909053641325272"/>
    <n v="0"/>
    <n v="0"/>
    <m/>
    <m/>
    <m/>
    <n v="9977.218629084944"/>
    <n v="0"/>
    <n v="0"/>
    <n v="-4565.2630000000026"/>
    <n v="637.08299999999872"/>
    <n v="0"/>
    <n v="0"/>
    <n v="-5158.0826768536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8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0.751"/>
    <n v="0.751"/>
    <n v="0.751"/>
    <n v="0.751"/>
    <m/>
    <n v="395.23"/>
    <n v="297.72000000000003"/>
    <m/>
    <n v="520.40545000000009"/>
    <n v="520.40545000000009"/>
    <n v="461.22664999999995"/>
    <n v="0"/>
    <n v="45.519325358729894"/>
    <n v="0"/>
    <n v="0"/>
    <n v="0"/>
    <n v="74.647524885541131"/>
    <n v="150.30875005903297"/>
    <n v="223.59061658911267"/>
    <n v="0"/>
    <n v="0"/>
    <n v="0"/>
    <n v="0"/>
    <n v="0"/>
    <n v="7.0375364413199799"/>
    <m/>
    <n v="0.6686805892348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63516645884258"/>
    <n v="0"/>
    <n v="0"/>
    <n v="0"/>
    <n v="148.93"/>
    <n v="17"/>
    <m/>
    <m/>
    <m/>
    <m/>
    <m/>
    <m/>
    <m/>
    <m/>
    <m/>
    <n v="242.22578304795525"/>
    <m/>
    <m/>
    <m/>
    <m/>
    <m/>
    <m/>
    <m/>
    <m/>
    <m/>
    <m/>
    <m/>
    <m/>
    <n v="460.61249999999995"/>
    <n v="-59.822950000000105"/>
    <m/>
    <m/>
    <m/>
    <m/>
    <n v="-68.776580000000024"/>
    <n v="9.5977799999999789"/>
    <n v="30"/>
    <n v="18.522643406793691"/>
    <n v="0"/>
    <n v="0"/>
    <n v="0"/>
    <n v="0"/>
    <n v="0"/>
    <n v="0"/>
    <n v="0"/>
    <n v="-0.57527479400533821"/>
    <n v="0"/>
    <n v="0"/>
    <n v="9.5943590323371666"/>
    <n v="0"/>
    <n v="0"/>
    <n v="0"/>
    <n v="0.79964213329246547"/>
    <n v="0"/>
    <n v="7.5993101492899697"/>
    <m/>
    <n v="0"/>
    <n v="0"/>
    <n v="0"/>
    <n v="0"/>
    <n v="1.024898361737745"/>
    <n v="7.9708524141695714E-2"/>
    <n v="0"/>
    <n v="0"/>
    <m/>
    <m/>
    <m/>
    <n v="150.30875005903297"/>
    <n v="0"/>
    <n v="0"/>
    <n v="-68.776580000000052"/>
    <n v="9.5977799999999718"/>
    <n v="0"/>
    <n v="0"/>
    <n v="-77.70752437948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09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0.5"/>
    <n v="20.5"/>
    <n v="20.5"/>
    <n v="20.5"/>
    <m/>
    <n v="217.38"/>
    <n v="163.75"/>
    <m/>
    <n v="7813.165"/>
    <n v="7813.165"/>
    <n v="6924.49"/>
    <n v="0"/>
    <n v="683.39599656415407"/>
    <n v="0"/>
    <n v="0"/>
    <n v="0"/>
    <n v="1120.7068483148817"/>
    <n v="2256.6326989555246"/>
    <n v="3356.83648740645"/>
    <n v="0"/>
    <n v="0"/>
    <n v="0"/>
    <n v="0"/>
    <n v="0"/>
    <n v="105.6567554938518"/>
    <m/>
    <n v="10.039112707886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77563491804278"/>
    <n v="0"/>
    <n v="0"/>
    <n v="0"/>
    <n v="2308.16"/>
    <n v="1"/>
    <m/>
    <m/>
    <m/>
    <m/>
    <m/>
    <m/>
    <m/>
    <m/>
    <m/>
    <n v="3636.6121223244927"/>
    <m/>
    <m/>
    <m/>
    <m/>
    <m/>
    <m/>
    <m/>
    <m/>
    <m/>
    <m/>
    <m/>
    <m/>
    <n v="6924.49"/>
    <n v="-888.70500000000084"/>
    <m/>
    <m/>
    <m/>
    <m/>
    <n v="-1032.585"/>
    <n v="143.9100000000002"/>
    <n v="30"/>
    <n v="278.08629082769949"/>
    <n v="0"/>
    <n v="0"/>
    <n v="0"/>
    <n v="0"/>
    <n v="0"/>
    <n v="0"/>
    <n v="0"/>
    <n v="-8.6367820271771052"/>
    <n v="0"/>
    <n v="0"/>
    <n v="144.04313993289634"/>
    <n v="0"/>
    <n v="0"/>
    <n v="0"/>
    <n v="12.005279697566664"/>
    <n v="0"/>
    <n v="114.09084145571751"/>
    <m/>
    <n v="0"/>
    <n v="0"/>
    <n v="0"/>
    <n v="0"/>
    <n v="15.387122541402746"/>
    <n v="1.1966892272937777"/>
    <n v="0"/>
    <n v="0"/>
    <m/>
    <m/>
    <m/>
    <n v="2256.6326989555246"/>
    <n v="0"/>
    <n v="0"/>
    <n v="-1032.585"/>
    <n v="143.91000000000031"/>
    <n v="0"/>
    <n v="0"/>
    <n v="-1166.647586389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0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0.32600000000000001"/>
    <n v="0.30643999999999999"/>
    <n v="0.32600000000000001"/>
    <n v="0.30643999999999999"/>
    <m/>
    <n v="395.23"/>
    <n v="297.72000000000003"/>
    <m/>
    <n v="225.90170000000003"/>
    <n v="225.90170000000003"/>
    <n v="200.21289999999999"/>
    <n v="0"/>
    <n v="19.759387572497932"/>
    <n v="0"/>
    <n v="0"/>
    <n v="0"/>
    <n v="32.403586035534502"/>
    <n v="65.247207082882483"/>
    <n v="97.057977374235335"/>
    <n v="0"/>
    <n v="0"/>
    <n v="0"/>
    <n v="0"/>
    <n v="0"/>
    <n v="3.0549092941016158"/>
    <m/>
    <n v="0.29026614126573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0892999541713468"/>
    <n v="0"/>
    <n v="0"/>
    <n v="0"/>
    <n v="64.66"/>
    <n v="2"/>
    <m/>
    <m/>
    <m/>
    <m/>
    <n v="12.012774000000013"/>
    <m/>
    <m/>
    <m/>
    <m/>
    <n v="105.14727732840669"/>
    <m/>
    <m/>
    <m/>
    <m/>
    <m/>
    <m/>
    <m/>
    <m/>
    <m/>
    <m/>
    <m/>
    <m/>
    <n v="190.38649999999998"/>
    <n v="-21.991098000000051"/>
    <m/>
    <m/>
    <m/>
    <m/>
    <n v="-29.855080000000015"/>
    <n v="4.1662799999999915"/>
    <n v="30"/>
    <n v="8.0404550607386795"/>
    <n v="0"/>
    <n v="0"/>
    <n v="0"/>
    <n v="0"/>
    <n v="0"/>
    <n v="0"/>
    <n v="0"/>
    <n v="-0.24971981737116522"/>
    <n v="0"/>
    <n v="0"/>
    <n v="4.1647949993900397"/>
    <n v="0"/>
    <n v="0"/>
    <n v="0"/>
    <n v="0.34711496065691527"/>
    <n v="0"/>
    <n v="3.2987684536198785"/>
    <m/>
    <n v="0"/>
    <n v="0"/>
    <n v="0"/>
    <n v="0"/>
    <n v="0.44489595995539943"/>
    <n v="3.4600504487606931E-2"/>
    <n v="0"/>
    <n v="0"/>
    <m/>
    <m/>
    <m/>
    <n v="65.247207082882483"/>
    <n v="0"/>
    <n v="0"/>
    <n v="-29.855080000000029"/>
    <n v="4.1662799999999862"/>
    <n v="0"/>
    <n v="0"/>
    <n v="-33.731894737297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1"/>
    <s v="Regular"/>
    <s v="Convencional"/>
    <s v="B1"/>
    <s v="Residencial"/>
    <s v="Residencial"/>
    <s v="Não se aplica"/>
    <s v="Não se aplica"/>
    <s v="Não se aplica"/>
    <s v="CATIVO"/>
    <x v="10"/>
    <n v="0"/>
    <n v="0"/>
    <n v="34.405000000000001"/>
    <n v="34.405000000000001"/>
    <n v="34.405000000000001"/>
    <n v="34.405000000000001"/>
    <m/>
    <n v="395.23"/>
    <n v="297.72000000000003"/>
    <m/>
    <n v="23840.944750000002"/>
    <n v="23840.944750000002"/>
    <n v="21129.830750000001"/>
    <n v="0"/>
    <n v="2085.3427283183782"/>
    <n v="0"/>
    <n v="0"/>
    <n v="0"/>
    <n v="3419.7710967870075"/>
    <n v="6885.982084928135"/>
    <n v="10243.189299265541"/>
    <n v="0"/>
    <n v="0"/>
    <n v="0"/>
    <n v="0"/>
    <n v="0"/>
    <n v="322.40538117658309"/>
    <m/>
    <n v="30.633762546771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3.71891080756188"/>
    <n v="0"/>
    <n v="0"/>
    <n v="0"/>
    <n v="3049.29"/>
    <n v="267"/>
    <m/>
    <m/>
    <m/>
    <m/>
    <m/>
    <m/>
    <m/>
    <m/>
    <m/>
    <n v="11096.908210073103"/>
    <m/>
    <m/>
    <m/>
    <m/>
    <m/>
    <m/>
    <m/>
    <m/>
    <m/>
    <m/>
    <m/>
    <m/>
    <n v="21132.901499999996"/>
    <n v="-2708.0732500000049"/>
    <m/>
    <m/>
    <m/>
    <m/>
    <n v="-3150.8099000000016"/>
    <n v="439.69589999999909"/>
    <n v="31"/>
    <n v="848.56397657887646"/>
    <n v="0"/>
    <n v="0"/>
    <n v="0"/>
    <n v="0"/>
    <n v="0"/>
    <n v="0"/>
    <n v="0"/>
    <n v="-26.354632873174069"/>
    <n v="0"/>
    <n v="0"/>
    <n v="439.53917777305105"/>
    <n v="0"/>
    <n v="0"/>
    <n v="0"/>
    <n v="36.633405587120137"/>
    <n v="0"/>
    <n v="348.1414989165396"/>
    <m/>
    <n v="0"/>
    <n v="0"/>
    <n v="0"/>
    <n v="0"/>
    <n v="46.95290031369791"/>
    <n v="3.6516268616445267"/>
    <n v="0"/>
    <n v="0"/>
    <m/>
    <m/>
    <m/>
    <n v="6885.982084928135"/>
    <n v="0"/>
    <n v="0"/>
    <n v="-3150.809900000002"/>
    <n v="439.6958999999988"/>
    <n v="0"/>
    <n v="0"/>
    <n v="-3559.9565596218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2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23.18"/>
    <n v="1"/>
    <m/>
    <m/>
    <m/>
    <m/>
    <m/>
    <m/>
    <m/>
    <m/>
    <m/>
    <n v="32.253766051658488"/>
    <m/>
    <m/>
    <m/>
    <m/>
    <m/>
    <m/>
    <m/>
    <m/>
    <m/>
    <m/>
    <m/>
    <m/>
    <n v="61.414999999999999"/>
    <n v="-7.9100000000000037"/>
    <m/>
    <m/>
    <m/>
    <m/>
    <n v="-9.1580000000000048"/>
    <n v="1.2779999999999974"/>
    <n v="31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3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3"/>
    <n v="0.3"/>
    <n v="0.3"/>
    <n v="0.3"/>
    <m/>
    <n v="325.25"/>
    <n v="297.72000000000003"/>
    <m/>
    <n v="186.89100000000002"/>
    <n v="186.89100000000002"/>
    <n v="159.80399999999997"/>
    <n v="0"/>
    <n v="0"/>
    <n v="0"/>
    <n v="0"/>
    <n v="0"/>
    <n v="29.819250952945858"/>
    <n v="60.043442100812101"/>
    <n v="89.3171570928546"/>
    <n v="0"/>
    <n v="0"/>
    <n v="0"/>
    <n v="0"/>
    <n v="0"/>
    <n v="0"/>
    <m/>
    <n v="0.2671160809193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3"/>
    <n v="0"/>
    <n v="0"/>
    <n v="0"/>
    <n v="7.3"/>
    <n v="2"/>
    <m/>
    <m/>
    <m/>
    <m/>
    <m/>
    <m/>
    <m/>
    <n v="103.875"/>
    <m/>
    <n v="96.761298154975464"/>
    <m/>
    <m/>
    <m/>
    <m/>
    <m/>
    <m/>
    <m/>
    <m/>
    <m/>
    <m/>
    <m/>
    <m/>
    <n v="55.929000000000002"/>
    <n v="-9.512999999999991"/>
    <m/>
    <m/>
    <m/>
    <m/>
    <n v="-30.920999999999996"/>
    <n v="3.8339999999999916"/>
    <n v="31"/>
    <n v="3.9541018225430093"/>
    <n v="0"/>
    <n v="0"/>
    <n v="0"/>
    <n v="0"/>
    <n v="0"/>
    <n v="0"/>
    <n v="0"/>
    <n v="-0.22980351291824874"/>
    <n v="0"/>
    <n v="0"/>
    <n v="3.8326334350215063"/>
    <n v="0"/>
    <n v="0"/>
    <n v="0"/>
    <n v="0.31943094538979899"/>
    <n v="0"/>
    <n v="0"/>
    <m/>
    <n v="0"/>
    <n v="0"/>
    <n v="0"/>
    <n v="0"/>
    <n v="0"/>
    <n v="3.1840955049944997E-2"/>
    <n v="0"/>
    <n v="0"/>
    <m/>
    <m/>
    <m/>
    <n v="60.043442100812101"/>
    <n v="0"/>
    <n v="0"/>
    <n v="-30.921000000000006"/>
    <n v="3.833999999999989"/>
    <n v="0"/>
    <n v="0"/>
    <n v="-31.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4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48899999999999999"/>
    <n v="0.48899999999999999"/>
    <n v="0.48899999999999999"/>
    <n v="0.48899999999999999"/>
    <m/>
    <n v="325.25"/>
    <n v="297.72000000000003"/>
    <m/>
    <n v="304.63233000000002"/>
    <n v="304.63233000000002"/>
    <n v="260.48052000000001"/>
    <n v="0"/>
    <n v="0"/>
    <n v="0"/>
    <n v="0"/>
    <n v="0"/>
    <n v="48.605379053301746"/>
    <n v="97.870810624323724"/>
    <n v="145.586966061353"/>
    <n v="0"/>
    <n v="0"/>
    <n v="0"/>
    <n v="0"/>
    <n v="0"/>
    <n v="0"/>
    <m/>
    <n v="0.435399211898597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33949931257018"/>
    <n v="0"/>
    <n v="0"/>
    <n v="0"/>
    <n v="20.68"/>
    <n v="2"/>
    <m/>
    <m/>
    <m/>
    <m/>
    <m/>
    <m/>
    <m/>
    <n v="104.19122999999999"/>
    <m/>
    <n v="157.72091599261"/>
    <m/>
    <m/>
    <m/>
    <m/>
    <m/>
    <m/>
    <m/>
    <m/>
    <m/>
    <m/>
    <m/>
    <m/>
    <n v="156.60890000000001"/>
    <n v="-26.199520000000007"/>
    <m/>
    <m/>
    <m/>
    <m/>
    <n v="-50.401229999999998"/>
    <n v="6.2494199999999864"/>
    <n v="31"/>
    <n v="6.4451859707450865"/>
    <n v="0"/>
    <n v="0"/>
    <n v="0"/>
    <n v="0"/>
    <n v="0"/>
    <n v="0"/>
    <n v="0"/>
    <n v="-0.37457972605674428"/>
    <n v="0"/>
    <n v="0"/>
    <n v="6.2471924990850596"/>
    <n v="0"/>
    <n v="0"/>
    <n v="0"/>
    <n v="0.5206724409853738"/>
    <n v="0"/>
    <n v="0"/>
    <m/>
    <n v="0"/>
    <n v="0"/>
    <n v="0"/>
    <n v="0"/>
    <n v="0"/>
    <n v="5.1900756731410369E-2"/>
    <n v="0"/>
    <n v="0"/>
    <m/>
    <m/>
    <m/>
    <n v="97.870810624323724"/>
    <n v="0"/>
    <n v="0"/>
    <n v="-50.401229999999984"/>
    <n v="6.2494199999999864"/>
    <n v="0"/>
    <n v="0"/>
    <n v="-50.597842105946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5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.7"/>
    <n v="0.7"/>
    <n v="0.7"/>
    <n v="0.7"/>
    <m/>
    <n v="325.25"/>
    <n v="297.72000000000003"/>
    <m/>
    <n v="436.07899999999995"/>
    <n v="436.07899999999995"/>
    <n v="372.87599999999998"/>
    <n v="0"/>
    <n v="0"/>
    <n v="0"/>
    <n v="0"/>
    <n v="0"/>
    <n v="69.578252223540332"/>
    <n v="140.1013649018949"/>
    <n v="208.40669988332738"/>
    <n v="0"/>
    <n v="0"/>
    <n v="0"/>
    <n v="0"/>
    <n v="0"/>
    <n v="0"/>
    <m/>
    <n v="0.62327085547856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369662478282031"/>
    <n v="0"/>
    <n v="0"/>
    <n v="0"/>
    <n v="57.07"/>
    <n v="2"/>
    <m/>
    <m/>
    <m/>
    <m/>
    <m/>
    <m/>
    <m/>
    <n v="37.289000000000001"/>
    <m/>
    <n v="225.77636236160942"/>
    <m/>
    <m/>
    <m/>
    <m/>
    <m/>
    <m/>
    <m/>
    <m/>
    <m/>
    <m/>
    <m/>
    <m/>
    <n v="335.58699999999999"/>
    <n v="-56.911999999999921"/>
    <m/>
    <m/>
    <m/>
    <m/>
    <n v="-72.148999999999987"/>
    <n v="8.9459999999999802"/>
    <n v="31"/>
    <n v="9.2262375859336885"/>
    <n v="0"/>
    <n v="0"/>
    <n v="0"/>
    <n v="0"/>
    <n v="0"/>
    <n v="0"/>
    <n v="0"/>
    <n v="-0.53620819680924114"/>
    <n v="0"/>
    <n v="0"/>
    <n v="8.9428113483835148"/>
    <n v="0"/>
    <n v="0"/>
    <n v="0"/>
    <n v="0.74533887257619824"/>
    <n v="0"/>
    <n v="0"/>
    <m/>
    <n v="0"/>
    <n v="0"/>
    <n v="0"/>
    <n v="0"/>
    <n v="0"/>
    <n v="7.4295561783204955E-2"/>
    <n v="0"/>
    <n v="0"/>
    <m/>
    <m/>
    <m/>
    <n v="140.1013649018949"/>
    <n v="0"/>
    <n v="0"/>
    <n v="-72.149000000000001"/>
    <n v="8.945999999999998"/>
    <n v="0"/>
    <n v="0"/>
    <n v="-72.43044882241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6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21"/>
    <n v="0.21"/>
    <n v="0.21"/>
    <n v="0.21"/>
    <m/>
    <n v="325.25"/>
    <n v="297.72000000000003"/>
    <m/>
    <n v="130.8237"/>
    <n v="130.8237"/>
    <n v="111.86279999999999"/>
    <n v="0"/>
    <n v="0"/>
    <n v="0"/>
    <n v="0"/>
    <n v="0"/>
    <n v="20.873475667062099"/>
    <n v="42.030409470568472"/>
    <n v="62.522009964998219"/>
    <n v="0"/>
    <n v="0"/>
    <n v="0"/>
    <n v="0"/>
    <n v="0"/>
    <n v="0"/>
    <m/>
    <n v="0.18698125664356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108987434846092"/>
    <n v="0"/>
    <n v="0"/>
    <n v="0"/>
    <n v="22.19"/>
    <n v="4"/>
    <m/>
    <m/>
    <m/>
    <m/>
    <m/>
    <m/>
    <m/>
    <m/>
    <m/>
    <n v="67.732908708482825"/>
    <m/>
    <m/>
    <m/>
    <m/>
    <m/>
    <m/>
    <m/>
    <m/>
    <m/>
    <m/>
    <m/>
    <m/>
    <n v="111.86279999999999"/>
    <n v="-18.990900000000011"/>
    <m/>
    <m/>
    <m/>
    <m/>
    <n v="-21.644699999999997"/>
    <n v="2.683799999999994"/>
    <n v="31"/>
    <n v="2.7678712757801094"/>
    <n v="0"/>
    <n v="0"/>
    <n v="0"/>
    <n v="0"/>
    <n v="0"/>
    <n v="0"/>
    <n v="0"/>
    <n v="-0.16086245904277163"/>
    <n v="0"/>
    <n v="0"/>
    <n v="2.6828434045150544"/>
    <n v="0"/>
    <n v="0"/>
    <n v="0"/>
    <n v="0.22360166177286001"/>
    <n v="0"/>
    <n v="0"/>
    <m/>
    <n v="0"/>
    <n v="0"/>
    <n v="0"/>
    <n v="0"/>
    <n v="0"/>
    <n v="2.2288668534961503E-2"/>
    <n v="0"/>
    <n v="0"/>
    <m/>
    <m/>
    <m/>
    <n v="42.030409470568472"/>
    <n v="0"/>
    <n v="0"/>
    <n v="-21.644699999999993"/>
    <n v="2.683799999999998"/>
    <n v="0"/>
    <n v="0"/>
    <n v="-21.7291346467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7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.5209999999999999"/>
    <n v="1.5209999999999999"/>
    <n v="1.5209999999999999"/>
    <n v="1.5209999999999999"/>
    <m/>
    <n v="395.23"/>
    <n v="297.72000000000003"/>
    <m/>
    <n v="1053.97695"/>
    <n v="1053.97695"/>
    <n v="934.12214999999992"/>
    <n v="0"/>
    <n v="92.190271465550154"/>
    <n v="0"/>
    <n v="0"/>
    <n v="0"/>
    <n v="151.18360233143551"/>
    <n v="304.42025145111734"/>
    <n v="452.83798646077275"/>
    <n v="0"/>
    <n v="0"/>
    <n v="0"/>
    <n v="0"/>
    <n v="0"/>
    <n v="14.253119743339132"/>
    <m/>
    <n v="1.3542785302612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741795184952814"/>
    <n v="0"/>
    <n v="0"/>
    <n v="0"/>
    <n v="185.4"/>
    <n v="2"/>
    <m/>
    <m/>
    <m/>
    <m/>
    <m/>
    <m/>
    <m/>
    <m/>
    <m/>
    <n v="490.57978164572557"/>
    <m/>
    <m/>
    <m/>
    <m/>
    <m/>
    <m/>
    <m/>
    <m/>
    <m/>
    <m/>
    <m/>
    <m/>
    <n v="933.50799999999992"/>
    <n v="-120.49895000000004"/>
    <m/>
    <m/>
    <m/>
    <m/>
    <n v="-139.29318000000006"/>
    <n v="19.438379999999956"/>
    <n v="31"/>
    <n v="37.513902292587545"/>
    <n v="0"/>
    <n v="0"/>
    <n v="0"/>
    <n v="0"/>
    <n v="0"/>
    <n v="0"/>
    <n v="0"/>
    <n v="-1.1651038104955376"/>
    <n v="0"/>
    <n v="0"/>
    <n v="19.431451515559047"/>
    <n v="0"/>
    <n v="0"/>
    <n v="0"/>
    <n v="1.6195148931262793"/>
    <n v="0"/>
    <n v="15.390879809680484"/>
    <m/>
    <n v="0"/>
    <n v="0"/>
    <n v="0"/>
    <n v="0"/>
    <n v="2.0757262426139977"/>
    <n v="0.1614336421032212"/>
    <n v="0"/>
    <n v="0"/>
    <m/>
    <m/>
    <m/>
    <n v="304.42025145111734"/>
    <n v="0"/>
    <n v="0"/>
    <n v="-139.29318000000001"/>
    <n v="19.438379999999938"/>
    <n v="0"/>
    <n v="0"/>
    <n v="-157.38101808414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8"/>
    <s v="Regular"/>
    <s v="Azul"/>
    <s v="A4"/>
    <s v="Industrial"/>
    <s v="Não se aplica"/>
    <s v="Não se aplica"/>
    <s v="Não se aplica"/>
    <s v="Ponta"/>
    <s v="CATIVO"/>
    <x v="10"/>
    <n v="715"/>
    <n v="715"/>
    <n v="30.140999999999998"/>
    <n v="30.140999999999998"/>
    <n v="30.140999999999998"/>
    <n v="30.140999999999998"/>
    <n v="78.569999999999993"/>
    <n v="72.290000000000006"/>
    <n v="297.72000000000003"/>
    <n v="56177.549999999996"/>
    <n v="11152.471410000002"/>
    <n v="67330.021410000001"/>
    <n v="50096.875039999999"/>
    <n v="0"/>
    <n v="1589.3984653856282"/>
    <n v="0"/>
    <n v="0"/>
    <n v="0"/>
    <n v="21794.517656357159"/>
    <n v="34384.966773572196"/>
    <n v="8973.6947731191012"/>
    <n v="0"/>
    <n v="0"/>
    <n v="0"/>
    <n v="0"/>
    <n v="0"/>
    <n v="282.44791728072636"/>
    <m/>
    <n v="18.173630598217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.76442368454894"/>
    <n v="0"/>
    <n v="0"/>
    <n v="0"/>
    <n v="0"/>
    <n v="0"/>
    <m/>
    <m/>
    <m/>
    <m/>
    <m/>
    <m/>
    <m/>
    <m/>
    <m/>
    <n v="9262.4591968036493"/>
    <m/>
    <m/>
    <m/>
    <m/>
    <m/>
    <m/>
    <m/>
    <m/>
    <m/>
    <m/>
    <m/>
    <m/>
    <n v="50096.481599999999"/>
    <n v="-17233.569810000001"/>
    <m/>
    <m/>
    <m/>
    <m/>
    <n v="-17618.34835"/>
    <n v="385.20197999999914"/>
    <n v="31"/>
    <n v="538.1404180012978"/>
    <n v="0"/>
    <n v="0"/>
    <n v="0"/>
    <n v="0"/>
    <n v="0"/>
    <n v="0"/>
    <n v="0"/>
    <n v="-167.96051408843778"/>
    <n v="0"/>
    <n v="0"/>
    <n v="385.06468121661055"/>
    <n v="0"/>
    <n v="0"/>
    <n v="0"/>
    <n v="12.390992067823049"/>
    <n v="0"/>
    <n v="265.34514283951989"/>
    <m/>
    <n v="0"/>
    <n v="0"/>
    <n v="0"/>
    <n v="0"/>
    <n v="41.133770334404005"/>
    <n v="2.1663456313840399"/>
    <n v="0"/>
    <n v="0"/>
    <m/>
    <m/>
    <n v="34384.966773572196"/>
    <n v="0"/>
    <n v="0"/>
    <n v="0"/>
    <n v="-17618.34835"/>
    <n v="385.201979999998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19"/>
    <s v="Regular"/>
    <s v="Azul"/>
    <s v="A4"/>
    <s v="Industrial"/>
    <s v="Não se aplica"/>
    <s v="Não se aplica"/>
    <s v="Não se aplica"/>
    <s v="Fora ponta"/>
    <s v="CATIVO"/>
    <x v="10"/>
    <n v="715"/>
    <n v="715"/>
    <n v="219.958"/>
    <n v="219.958"/>
    <n v="219.958"/>
    <n v="219.958"/>
    <n v="25.76"/>
    <n v="72.290000000000006"/>
    <n v="297.72000000000003"/>
    <n v="18418.400000000001"/>
    <n v="81386.659580000007"/>
    <n v="99805.059580000001"/>
    <n v="99925.075519999999"/>
    <n v="0"/>
    <n v="11598.848998019044"/>
    <n v="0"/>
    <n v="0"/>
    <n v="0"/>
    <n v="8809.0697848288128"/>
    <n v="9608.3573567757503"/>
    <n v="65486.744132767039"/>
    <n v="0"/>
    <n v="0"/>
    <n v="0"/>
    <n v="0"/>
    <n v="0"/>
    <n v="2061.2016518773103"/>
    <m/>
    <n v="132.62451276077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7.2972066224088"/>
    <n v="0"/>
    <n v="0"/>
    <n v="0"/>
    <n v="0"/>
    <n v="0"/>
    <m/>
    <m/>
    <m/>
    <m/>
    <m/>
    <m/>
    <m/>
    <m/>
    <m/>
    <n v="67594.041339389441"/>
    <m/>
    <m/>
    <m/>
    <m/>
    <m/>
    <m/>
    <m/>
    <m/>
    <m/>
    <m/>
    <m/>
    <m/>
    <n v="99925.862399999998"/>
    <n v="120.77281999998377"/>
    <m/>
    <m/>
    <m/>
    <m/>
    <n v="-2691.0473000000043"/>
    <n v="2811.063239999994"/>
    <n v="31"/>
    <n v="5084.9789619328803"/>
    <n v="0"/>
    <n v="0"/>
    <n v="0"/>
    <n v="0"/>
    <n v="0"/>
    <n v="0"/>
    <n v="0"/>
    <n v="-67.88752625912457"/>
    <n v="0"/>
    <n v="0"/>
    <n v="2810.0612836681976"/>
    <n v="0"/>
    <n v="0"/>
    <n v="0"/>
    <n v="90.424930601314372"/>
    <n v="0"/>
    <n v="1936.3918559004396"/>
    <m/>
    <n v="0"/>
    <n v="0"/>
    <n v="0"/>
    <n v="0"/>
    <n v="300.17921950880327"/>
    <n v="15.809198513253392"/>
    <n v="0"/>
    <n v="0"/>
    <m/>
    <m/>
    <n v="9608.3573567757503"/>
    <n v="0"/>
    <n v="0"/>
    <n v="0"/>
    <n v="-2691.047300000002"/>
    <n v="2811.0632399999959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0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039.3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221"/>
    <s v="Regular"/>
    <s v="Verde"/>
    <s v="A4"/>
    <s v="Industrial"/>
    <s v="Não se aplica"/>
    <s v="Não se aplica"/>
    <s v="Não se aplica"/>
    <s v="Ponta"/>
    <s v="CATIVO"/>
    <x v="10"/>
    <n v="0"/>
    <n v="0"/>
    <n v="48.082000000000001"/>
    <n v="48.082000000000001"/>
    <n v="48.082000000000001"/>
    <n v="48.082000000000001"/>
    <m/>
    <n v="1962.25"/>
    <n v="297.72000000000003"/>
    <m/>
    <n v="108663.87754"/>
    <n v="108663.87754"/>
    <n v="80768.624419999993"/>
    <n v="0"/>
    <n v="2535.465213916983"/>
    <n v="0"/>
    <n v="0"/>
    <n v="0"/>
    <n v="35262.446865403195"/>
    <n v="55610.992245234338"/>
    <n v="14315.158491128783"/>
    <n v="0"/>
    <n v="0"/>
    <n v="0"/>
    <n v="0"/>
    <n v="0"/>
    <n v="450.57100821777266"/>
    <m/>
    <n v="28.991224790932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64732489301895"/>
    <n v="0"/>
    <n v="0"/>
    <n v="0"/>
    <n v="0"/>
    <n v="0"/>
    <m/>
    <m/>
    <m/>
    <m/>
    <m/>
    <m/>
    <m/>
    <m/>
    <m/>
    <n v="14775.805816021802"/>
    <m/>
    <m/>
    <m/>
    <m/>
    <m/>
    <m/>
    <m/>
    <m/>
    <m/>
    <m/>
    <m/>
    <m/>
    <n v="80765.26479999999"/>
    <n v="-27898.642739999996"/>
    <m/>
    <m/>
    <m/>
    <m/>
    <n v="-28509.741080000003"/>
    <n v="614.48795999999868"/>
    <n v="31"/>
    <n v="854.64566472984734"/>
    <n v="0"/>
    <n v="0"/>
    <n v="0"/>
    <n v="0"/>
    <n v="0"/>
    <n v="0"/>
    <n v="0"/>
    <n v="-271.75176789478428"/>
    <n v="0"/>
    <n v="0"/>
    <n v="614.26893607567945"/>
    <n v="0"/>
    <n v="0"/>
    <n v="0"/>
    <n v="19.76655322003478"/>
    <n v="0"/>
    <n v="423.28805142529427"/>
    <m/>
    <n v="0"/>
    <n v="0"/>
    <n v="0"/>
    <n v="0"/>
    <n v="65.618059958820652"/>
    <n v="3.4558319447996872"/>
    <n v="0"/>
    <n v="0"/>
    <m/>
    <m/>
    <m/>
    <n v="55610.992245234338"/>
    <n v="0"/>
    <n v="0"/>
    <n v="-28509.741080000007"/>
    <n v="614.48795999999857"/>
    <n v="0"/>
    <n v="0"/>
    <n v="-28750.1062577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2"/>
    <s v="Regular"/>
    <s v="Verde"/>
    <s v="A4"/>
    <s v="Industrial"/>
    <s v="Não se aplica"/>
    <s v="Não se aplica"/>
    <s v="Não se aplica"/>
    <s v="Fora ponta"/>
    <s v="CATIVO"/>
    <x v="10"/>
    <n v="0"/>
    <n v="0"/>
    <n v="688.66"/>
    <n v="688.66"/>
    <n v="688.66"/>
    <n v="688.66"/>
    <m/>
    <n v="72.290000000000006"/>
    <n v="297.72000000000003"/>
    <m/>
    <n v="254811.08660000004"/>
    <n v="254811.08660000004"/>
    <n v="270946.39039999997"/>
    <n v="0"/>
    <n v="36314.493453185583"/>
    <n v="0"/>
    <n v="0"/>
    <n v="0"/>
    <n v="0"/>
    <n v="0"/>
    <n v="205030.51134521747"/>
    <n v="0"/>
    <n v="0"/>
    <n v="0"/>
    <n v="0"/>
    <n v="0"/>
    <n v="6453.355320478584"/>
    <m/>
    <n v="415.230166476503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97.6745301948004"/>
    <n v="0"/>
    <n v="0"/>
    <n v="0"/>
    <n v="0"/>
    <n v="0"/>
    <m/>
    <m/>
    <m/>
    <m/>
    <m/>
    <m/>
    <m/>
    <m/>
    <m/>
    <n v="211628.18587541228"/>
    <m/>
    <m/>
    <m/>
    <m/>
    <m/>
    <m/>
    <m/>
    <m/>
    <m/>
    <m/>
    <m/>
    <m/>
    <n v="270946.39039999997"/>
    <n v="16135.273799999937"/>
    <m/>
    <m/>
    <m/>
    <m/>
    <n v="7334.2289999999939"/>
    <n v="8801.0747999999803"/>
    <n v="31"/>
    <n v="16132.957363488968"/>
    <n v="0"/>
    <n v="0"/>
    <n v="0"/>
    <n v="0"/>
    <n v="0"/>
    <n v="0"/>
    <n v="0"/>
    <n v="0"/>
    <n v="0"/>
    <n v="0"/>
    <n v="8797.937804539717"/>
    <n v="0"/>
    <n v="0"/>
    <n v="0"/>
    <n v="283.1087421594184"/>
    <n v="0"/>
    <n v="6062.5920197692103"/>
    <m/>
    <n v="0"/>
    <n v="0"/>
    <n v="0"/>
    <n v="0"/>
    <n v="939.82224473277802"/>
    <n v="49.496552287878046"/>
    <n v="0"/>
    <n v="0"/>
    <m/>
    <m/>
    <m/>
    <n v="0"/>
    <n v="0"/>
    <n v="0"/>
    <n v="7334.2289999999921"/>
    <n v="8801.0747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3"/>
    <s v="Regular"/>
    <s v="Verde"/>
    <s v="A4"/>
    <s v="Industrial"/>
    <s v="Não se aplica"/>
    <s v="Não se aplica"/>
    <s v="Não se aplica"/>
    <s v="Não se aplica"/>
    <s v="CATIVO"/>
    <x v="10"/>
    <n v="3056"/>
    <n v="3056"/>
    <n v="0"/>
    <n v="0"/>
    <n v="0"/>
    <n v="0"/>
    <n v="25.76"/>
    <m/>
    <m/>
    <n v="78722.559999999998"/>
    <m/>
    <n v="78722.559999999998"/>
    <n v="57208.32"/>
    <n v="0"/>
    <n v="0"/>
    <n v="0"/>
    <n v="0"/>
    <n v="0"/>
    <n v="37651.073094317275"/>
    <n v="41067.3287864429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9898.14"/>
    <n v="3"/>
    <m/>
    <m/>
    <m/>
    <m/>
    <m/>
    <m/>
    <m/>
    <m/>
    <m/>
    <n v="0"/>
    <m/>
    <m/>
    <m/>
    <m/>
    <m/>
    <m/>
    <m/>
    <m/>
    <m/>
    <m/>
    <m/>
    <m/>
    <n v="57208.32"/>
    <n v="-21514.269999999982"/>
    <m/>
    <m/>
    <m/>
    <m/>
    <n v="-21514.240000000009"/>
    <n v="0"/>
    <n v="31"/>
    <n v="-290.15983251452417"/>
    <n v="0"/>
    <n v="0"/>
    <n v="0"/>
    <n v="0"/>
    <m/>
    <m/>
    <m/>
    <n v="-290.159832514524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7.328786442922"/>
    <m/>
    <n v="0"/>
    <n v="0"/>
    <n v="-21514.239999999998"/>
    <m/>
    <n v="0"/>
    <m/>
    <n v="-21231.23538462870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224"/>
    <s v="Regular"/>
    <s v="Convencional"/>
    <s v="B3"/>
    <s v="Comercial"/>
    <s v="Não se aplica"/>
    <s v="Não se aplica"/>
    <s v="Não se aplica"/>
    <s v="Não se aplica"/>
    <s v="CATIVO"/>
    <x v="10"/>
    <n v="0"/>
    <n v="0"/>
    <n v="19.463999999999999"/>
    <n v="19.463999999999999"/>
    <n v="19.463999999999999"/>
    <n v="19.463999999999999"/>
    <m/>
    <n v="395.23"/>
    <n v="297.72000000000003"/>
    <m/>
    <n v="13487.578799999999"/>
    <n v="13487.578799999999"/>
    <n v="11953.815599999998"/>
    <n v="0"/>
    <n v="1179.7445389911034"/>
    <n v="0"/>
    <n v="0"/>
    <n v="0"/>
    <n v="1934.6730018271271"/>
    <n v="3895.6185235006892"/>
    <n v="5794.897152184406"/>
    <n v="0"/>
    <n v="0"/>
    <n v="0"/>
    <n v="0"/>
    <n v="0"/>
    <n v="182.39495245519583"/>
    <m/>
    <n v="17.330491330049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2.97587211040201"/>
    <n v="0"/>
    <n v="0"/>
    <n v="0"/>
    <n v="2121.21"/>
    <n v="49"/>
    <m/>
    <m/>
    <m/>
    <m/>
    <m/>
    <m/>
    <m/>
    <m/>
    <m/>
    <n v="6277.8730242948077"/>
    <m/>
    <m/>
    <m/>
    <m/>
    <m/>
    <m/>
    <m/>
    <m/>
    <m/>
    <m/>
    <m/>
    <m/>
    <n v="11951.359"/>
    <n v="-1536.2497999999996"/>
    <m/>
    <m/>
    <m/>
    <m/>
    <n v="-1782.5131200000008"/>
    <n v="248.74991999999946"/>
    <n v="31"/>
    <n v="480.05956227674324"/>
    <n v="0"/>
    <n v="0"/>
    <n v="0"/>
    <n v="0"/>
    <n v="0"/>
    <n v="0"/>
    <n v="0"/>
    <n v="-14.909651918135751"/>
    <n v="0"/>
    <n v="0"/>
    <n v="248.66125726419523"/>
    <n v="0"/>
    <n v="0"/>
    <n v="0"/>
    <n v="20.724679736890209"/>
    <n v="0"/>
    <n v="196.95469074005314"/>
    <m/>
    <n v="0"/>
    <n v="0"/>
    <n v="0"/>
    <n v="0"/>
    <n v="26.562745290097837"/>
    <n v="2.0658411636404317"/>
    <n v="0"/>
    <n v="0"/>
    <m/>
    <m/>
    <m/>
    <n v="3895.6185235006892"/>
    <n v="0"/>
    <n v="0"/>
    <n v="-1782.5131200000005"/>
    <n v="248.74991999999929"/>
    <n v="0"/>
    <n v="0"/>
    <n v="-2013.980365542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5"/>
    <s v="Regular"/>
    <s v="Convencional"/>
    <s v="B2"/>
    <s v="Rural"/>
    <s v="Não se aplica"/>
    <s v="Não se aplica"/>
    <s v="Não se aplica"/>
    <s v="Não se aplica"/>
    <s v="CATIVO"/>
    <x v="10"/>
    <n v="0"/>
    <n v="0"/>
    <n v="380.39699999999999"/>
    <n v="380.39699999999999"/>
    <n v="380.39699999999999"/>
    <n v="380.39699999999999"/>
    <m/>
    <n v="395.23"/>
    <n v="297.72000000000003"/>
    <m/>
    <n v="263596.10115"/>
    <n v="263596.10115"/>
    <n v="233620.81754999998"/>
    <n v="0"/>
    <n v="23056.477774280662"/>
    <n v="0"/>
    <n v="0"/>
    <n v="0"/>
    <n v="37810.512015825821"/>
    <n v="76134.48414940873"/>
    <n v="113253.2620221687"/>
    <n v="0"/>
    <n v="0"/>
    <n v="0"/>
    <n v="0"/>
    <n v="0"/>
    <n v="3564.6574562833503"/>
    <m/>
    <n v="338.70051944497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39.0964253586426"/>
    <n v="0"/>
    <n v="0.98"/>
    <n v="4.58"/>
    <n v="49165.86"/>
    <n v="939"/>
    <m/>
    <m/>
    <m/>
    <m/>
    <m/>
    <n v="28035.258899999993"/>
    <m/>
    <m/>
    <m/>
    <n v="122692.35844752734"/>
    <m/>
    <m/>
    <m/>
    <m/>
    <m/>
    <m/>
    <m/>
    <m/>
    <m/>
    <m/>
    <m/>
    <m/>
    <n v="205587.18"/>
    <n v="-26378.940600000031"/>
    <m/>
    <m/>
    <m/>
    <m/>
    <n v="-34836.757260000013"/>
    <n v="4861.4736599999896"/>
    <n v="31"/>
    <n v="9382.101177116012"/>
    <n v="0"/>
    <n v="0"/>
    <n v="0"/>
    <n v="0"/>
    <n v="0"/>
    <n v="0"/>
    <n v="0"/>
    <n v="-291.38855634521315"/>
    <n v="0"/>
    <n v="0"/>
    <n v="4859.7408692729223"/>
    <n v="0"/>
    <n v="0"/>
    <n v="0"/>
    <n v="405.03524444481081"/>
    <n v="0"/>
    <n v="3849.2074339007377"/>
    <m/>
    <n v="0"/>
    <n v="0"/>
    <n v="0"/>
    <n v="0"/>
    <n v="519.13217324893913"/>
    <n v="40.37401259377981"/>
    <n v="0"/>
    <n v="0"/>
    <m/>
    <m/>
    <m/>
    <n v="76134.48414940873"/>
    <n v="0"/>
    <n v="0"/>
    <n v="-34836.757260000028"/>
    <n v="4861.4736599999887"/>
    <n v="0"/>
    <n v="0"/>
    <n v="-39360.464915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6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65.037000000000006"/>
    <n v="65.037000000000006"/>
    <n v="65.037000000000006"/>
    <n v="65.037000000000006"/>
    <m/>
    <n v="395.23"/>
    <n v="297.72000000000003"/>
    <m/>
    <n v="45067.389150000003"/>
    <n v="45067.389150000003"/>
    <n v="39942.473550000002"/>
    <n v="0"/>
    <n v="3941.9978207133377"/>
    <n v="0"/>
    <n v="0"/>
    <n v="0"/>
    <n v="6464.5154140891336"/>
    <n v="13016.817813035057"/>
    <n v="19363.066486159951"/>
    <n v="0"/>
    <n v="0"/>
    <n v="0"/>
    <n v="0"/>
    <n v="0"/>
    <n v="609.45440417327234"/>
    <m/>
    <n v="57.9080951825134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3.8153408571836"/>
    <n v="0"/>
    <n v="0"/>
    <n v="0"/>
    <n v="17273.45"/>
    <n v="30"/>
    <m/>
    <m/>
    <m/>
    <m/>
    <m/>
    <n v="4793.2268999999997"/>
    <m/>
    <m/>
    <m/>
    <n v="20976.881827017136"/>
    <m/>
    <m/>
    <m/>
    <m/>
    <m/>
    <m/>
    <m/>
    <m/>
    <m/>
    <m/>
    <m/>
    <m/>
    <n v="35150.868000000002"/>
    <n v="-4508.7246000000014"/>
    <m/>
    <m/>
    <m/>
    <m/>
    <n v="-5956.0884600000036"/>
    <n v="831.17285999999831"/>
    <n v="31"/>
    <n v="1604.0707846173573"/>
    <n v="0"/>
    <n v="0"/>
    <n v="0"/>
    <n v="0"/>
    <n v="0"/>
    <n v="0"/>
    <n v="0"/>
    <n v="-49.819103565547266"/>
    <n v="0"/>
    <n v="0"/>
    <n v="830.87660237831005"/>
    <n v="0"/>
    <n v="0"/>
    <n v="0"/>
    <n v="69.249434651054798"/>
    <n v="0"/>
    <n v="658.10430649716591"/>
    <m/>
    <n v="0"/>
    <n v="0"/>
    <n v="0"/>
    <n v="0"/>
    <n v="88.756744011102228"/>
    <n v="6.9028006452775799"/>
    <n v="0"/>
    <n v="0"/>
    <m/>
    <m/>
    <m/>
    <n v="13016.817813035057"/>
    <n v="0"/>
    <n v="0"/>
    <n v="-5956.0884600000027"/>
    <n v="831.17285999999876"/>
    <n v="0"/>
    <n v="0"/>
    <n v="-6729.5130000909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7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0.872"/>
    <n v="0.872"/>
    <n v="0.872"/>
    <n v="0.872"/>
    <m/>
    <n v="395.23"/>
    <n v="297.72000000000003"/>
    <m/>
    <n v="604.25240000000008"/>
    <n v="604.25240000000008"/>
    <n v="535.53879999999992"/>
    <n v="0"/>
    <n v="52.85333117551594"/>
    <n v="0"/>
    <n v="0"/>
    <n v="0"/>
    <n v="86.674622769895961"/>
    <n v="174.52627170636052"/>
    <n v="259.6152032832307"/>
    <n v="0"/>
    <n v="0"/>
    <n v="0"/>
    <n v="0"/>
    <n v="0"/>
    <n v="8.17141381735156"/>
    <m/>
    <n v="0.77641740853901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637636687231328"/>
    <n v="0"/>
    <n v="0"/>
    <n v="0"/>
    <n v="106.18"/>
    <n v="17"/>
    <m/>
    <m/>
    <m/>
    <m/>
    <m/>
    <m/>
    <m/>
    <m/>
    <m/>
    <n v="281.25283997046205"/>
    <m/>
    <m/>
    <m/>
    <m/>
    <m/>
    <m/>
    <m/>
    <m/>
    <m/>
    <m/>
    <m/>
    <m/>
    <n v="534.31050000000005"/>
    <n v="-69.971900000000005"/>
    <m/>
    <m/>
    <m/>
    <m/>
    <n v="-79.857760000000042"/>
    <n v="11.144159999999976"/>
    <n v="31"/>
    <n v="21.506984088846991"/>
    <n v="0"/>
    <n v="0"/>
    <n v="0"/>
    <n v="0"/>
    <n v="0"/>
    <n v="0"/>
    <n v="0"/>
    <n v="-0.66796221088237928"/>
    <n v="0"/>
    <n v="0"/>
    <n v="11.140187851129156"/>
    <n v="0"/>
    <n v="0"/>
    <n v="0"/>
    <n v="0.92847928126635182"/>
    <n v="0"/>
    <n v="8.8236996673513346"/>
    <m/>
    <n v="0"/>
    <n v="0"/>
    <n v="0"/>
    <n v="0"/>
    <n v="1.190028457304015"/>
    <n v="9.2551042678506779E-2"/>
    <n v="0"/>
    <n v="0"/>
    <m/>
    <m/>
    <m/>
    <n v="174.52627170636052"/>
    <n v="0"/>
    <n v="0"/>
    <n v="-79.857760000000042"/>
    <n v="11.144159999999943"/>
    <n v="0"/>
    <n v="0"/>
    <n v="-90.227644818784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8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1.538"/>
    <n v="21.538"/>
    <n v="21.538"/>
    <n v="21.538"/>
    <m/>
    <n v="217.38"/>
    <n v="163.75"/>
    <m/>
    <n v="8208.7779399999999"/>
    <n v="8208.7779399999999"/>
    <n v="7275.1056399999998"/>
    <n v="0"/>
    <n v="717.99916946335372"/>
    <n v="0"/>
    <n v="0"/>
    <n v="0"/>
    <n v="1177.4528828783377"/>
    <n v="2370.8953692733699"/>
    <n v="3526.8070373541523"/>
    <n v="0"/>
    <n v="0"/>
    <n v="0"/>
    <n v="0"/>
    <n v="0"/>
    <n v="111.00659511349171"/>
    <m/>
    <n v="10.547434609876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.94183535925879"/>
    <n v="0"/>
    <n v="0"/>
    <n v="0"/>
    <n v="1490.08"/>
    <n v="1"/>
    <m/>
    <m/>
    <m/>
    <m/>
    <m/>
    <m/>
    <m/>
    <m/>
    <m/>
    <n v="3820.7488727134109"/>
    <m/>
    <m/>
    <m/>
    <m/>
    <m/>
    <m/>
    <m/>
    <m/>
    <m/>
    <m/>
    <m/>
    <m/>
    <n v="7275.7811999999994"/>
    <n v="-933.02674000000115"/>
    <m/>
    <m/>
    <m/>
    <m/>
    <n v="-1084.8690600000002"/>
    <n v="151.19676000000021"/>
    <n v="31"/>
    <n v="292.1669527730246"/>
    <n v="0"/>
    <n v="0"/>
    <n v="0"/>
    <n v="0"/>
    <n v="0"/>
    <n v="0"/>
    <n v="0"/>
    <n v="-9.0740981122605717"/>
    <n v="0"/>
    <n v="0"/>
    <n v="151.33664135974277"/>
    <n v="0"/>
    <n v="0"/>
    <n v="0"/>
    <n v="12.613156786643515"/>
    <n v="0"/>
    <n v="119.86773381820694"/>
    <m/>
    <n v="0"/>
    <n v="0"/>
    <n v="0"/>
    <n v="0"/>
    <n v="16.166236355938167"/>
    <n v="1.2572825647538224"/>
    <n v="0"/>
    <n v="0"/>
    <m/>
    <m/>
    <m/>
    <n v="2370.8953692733699"/>
    <n v="0"/>
    <n v="0"/>
    <n v="-1084.8690600000004"/>
    <n v="151.19676000000027"/>
    <n v="0"/>
    <n v="0"/>
    <n v="-1225.7197910078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29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0.64200000000000002"/>
    <n v="0.60348000000000002"/>
    <n v="0.64200000000000002"/>
    <n v="0.60348000000000002"/>
    <m/>
    <n v="395.23"/>
    <n v="297.72000000000003"/>
    <m/>
    <n v="444.87390000000005"/>
    <n v="444.87390000000005"/>
    <n v="394.28430000000003"/>
    <n v="0"/>
    <n v="38.912658961790406"/>
    <n v="0"/>
    <n v="0"/>
    <n v="0"/>
    <n v="63.813197039304143"/>
    <n v="128.4929660957379"/>
    <n v="191.13871617870885"/>
    <n v="0"/>
    <n v="0"/>
    <n v="0"/>
    <n v="0"/>
    <n v="0"/>
    <n v="6.0161097141510345"/>
    <m/>
    <n v="0.57162841316748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930461872938663"/>
    <n v="0"/>
    <n v="0"/>
    <n v="0"/>
    <n v="78.25"/>
    <n v="2"/>
    <m/>
    <m/>
    <m/>
    <m/>
    <n v="23.657057999999999"/>
    <m/>
    <m/>
    <m/>
    <m/>
    <n v="207.0691780516475"/>
    <m/>
    <m/>
    <m/>
    <m/>
    <m/>
    <m/>
    <m/>
    <m/>
    <m/>
    <m/>
    <m/>
    <m/>
    <n v="368.48999999999995"/>
    <n v="-49.721466000000078"/>
    <m/>
    <m/>
    <m/>
    <m/>
    <n v="-58.794360000000026"/>
    <n v="8.2047599999999825"/>
    <n v="31"/>
    <n v="15.834270395687895"/>
    <n v="0"/>
    <n v="0"/>
    <n v="0"/>
    <n v="0"/>
    <n v="0"/>
    <n v="0"/>
    <n v="0"/>
    <n v="-0.49177951764505679"/>
    <n v="0"/>
    <n v="0"/>
    <n v="8.201835550946015"/>
    <n v="0"/>
    <n v="0"/>
    <n v="0"/>
    <n v="0.68358222313417194"/>
    <n v="0"/>
    <n v="6.4963476908710476"/>
    <m/>
    <n v="0"/>
    <n v="0"/>
    <n v="0"/>
    <n v="0"/>
    <n v="0.87614480457474464"/>
    <n v="6.8139643806882311E-2"/>
    <n v="0"/>
    <n v="0"/>
    <m/>
    <m/>
    <m/>
    <n v="128.4929660957379"/>
    <n v="0"/>
    <n v="0"/>
    <n v="-58.794360000000012"/>
    <n v="8.2047599999999932"/>
    <n v="0"/>
    <n v="0"/>
    <n v="-66.429068777132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0"/>
    <s v="Regular"/>
    <s v="Convencional"/>
    <s v="B1"/>
    <s v="Residencial"/>
    <s v="Residencial"/>
    <s v="Não se aplica"/>
    <s v="Não se aplica"/>
    <s v="Não se aplica"/>
    <s v="CATIVO"/>
    <x v="11"/>
    <n v="0"/>
    <n v="0"/>
    <n v="40.055999999999997"/>
    <n v="40.055999999999997"/>
    <n v="40.055999999999997"/>
    <n v="40.055999999999997"/>
    <m/>
    <n v="395.23"/>
    <n v="297.72000000000003"/>
    <m/>
    <n v="27756.805200000003"/>
    <n v="27756.805200000003"/>
    <n v="24600.392399999997"/>
    <n v="0"/>
    <n v="2427.8589834477825"/>
    <n v="0"/>
    <n v="0"/>
    <n v="0"/>
    <n v="3981.4663872373308"/>
    <n v="8017.0003893004314"/>
    <n v="11925.626815037946"/>
    <n v="0"/>
    <n v="0"/>
    <n v="0"/>
    <n v="0"/>
    <n v="0"/>
    <n v="375.36026590347944"/>
    <m/>
    <n v="35.665339124356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3.9417146143785"/>
    <n v="0"/>
    <n v="0"/>
    <n v="0"/>
    <n v="3802.76"/>
    <n v="272"/>
    <m/>
    <m/>
    <m/>
    <m/>
    <m/>
    <m/>
    <m/>
    <m/>
    <m/>
    <n v="12919.568529652324"/>
    <m/>
    <m/>
    <m/>
    <m/>
    <m/>
    <m/>
    <m/>
    <m/>
    <m/>
    <m/>
    <m/>
    <m/>
    <n v="24602.849000000002"/>
    <n v="-3153.9861999999957"/>
    <m/>
    <m/>
    <m/>
    <m/>
    <n v="-3668.3284800000015"/>
    <n v="511.91567999999887"/>
    <n v="31"/>
    <n v="987.94008562253657"/>
    <n v="0"/>
    <n v="0"/>
    <n v="0"/>
    <n v="0"/>
    <n v="0"/>
    <n v="0"/>
    <n v="0"/>
    <n v="-30.683365044844322"/>
    <n v="0"/>
    <n v="0"/>
    <n v="511.73321624407072"/>
    <n v="0"/>
    <n v="0"/>
    <n v="0"/>
    <n v="42.650419828446047"/>
    <n v="0"/>
    <n v="405.32352508649637"/>
    <m/>
    <n v="0"/>
    <n v="0"/>
    <n v="0"/>
    <n v="0"/>
    <n v="54.664885190102723"/>
    <n v="4.2514043182686621"/>
    <n v="0"/>
    <n v="0"/>
    <m/>
    <m/>
    <m/>
    <n v="8017.0003893004314"/>
    <n v="0"/>
    <n v="0"/>
    <n v="-3668.3284800000019"/>
    <n v="511.91567999999825"/>
    <n v="0"/>
    <n v="0"/>
    <n v="-4144.677225758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0.1"/>
    <n v="0.1"/>
    <n v="0.1"/>
    <n v="0.1"/>
    <m/>
    <n v="395.23"/>
    <n v="297.72000000000003"/>
    <m/>
    <n v="69.295000000000016"/>
    <n v="69.295000000000016"/>
    <n v="61.414999999999999"/>
    <n v="0"/>
    <n v="6.0611618320545801"/>
    <n v="0"/>
    <n v="0"/>
    <n v="0"/>
    <n v="9.9397503176486204"/>
    <n v="20.014480700270703"/>
    <n v="29.772385697618201"/>
    <n v="0"/>
    <n v="0"/>
    <n v="0"/>
    <n v="0"/>
    <n v="0"/>
    <n v="0.937088740521968"/>
    <m/>
    <n v="8.90386936397949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813803540402901"/>
    <n v="0"/>
    <n v="0"/>
    <n v="0"/>
    <n v="28.6"/>
    <n v="1"/>
    <m/>
    <m/>
    <m/>
    <m/>
    <m/>
    <m/>
    <m/>
    <m/>
    <m/>
    <n v="32.253766051658488"/>
    <m/>
    <m/>
    <m/>
    <m/>
    <m/>
    <m/>
    <m/>
    <m/>
    <m/>
    <m/>
    <m/>
    <m/>
    <n v="61.414999999999999"/>
    <n v="-7.9100000000000037"/>
    <m/>
    <m/>
    <m/>
    <m/>
    <n v="-9.1580000000000048"/>
    <n v="1.2779999999999974"/>
    <n v="31"/>
    <n v="2.4663972578952951"/>
    <n v="0"/>
    <n v="0"/>
    <n v="0"/>
    <n v="0"/>
    <n v="0"/>
    <n v="0"/>
    <n v="0"/>
    <n v="-7.6601170972748989E-2"/>
    <n v="0"/>
    <n v="0"/>
    <n v="1.2775444783405021"/>
    <n v="0"/>
    <n v="0"/>
    <n v="0"/>
    <n v="0.10647698179660026"/>
    <n v="0"/>
    <n v="1.0118921636870795"/>
    <m/>
    <n v="0"/>
    <n v="0"/>
    <n v="0"/>
    <n v="0"/>
    <n v="0.13647115336055216"/>
    <n v="1.0613651683315017E-2"/>
    <n v="0"/>
    <n v="0"/>
    <m/>
    <m/>
    <m/>
    <n v="20.014480700270703"/>
    <n v="0"/>
    <n v="0"/>
    <n v="-9.1580000000000048"/>
    <n v="1.2779999999999951"/>
    <n v="0"/>
    <n v="0"/>
    <n v="-10.34720697463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3"/>
    <n v="0.3"/>
    <n v="0.3"/>
    <n v="0.3"/>
    <m/>
    <n v="325.25"/>
    <n v="297.72000000000003"/>
    <m/>
    <n v="186.89100000000002"/>
    <n v="186.89100000000002"/>
    <n v="159.80399999999997"/>
    <n v="0"/>
    <n v="0"/>
    <n v="0"/>
    <n v="0"/>
    <n v="0"/>
    <n v="29.819250952945858"/>
    <n v="60.043442100812101"/>
    <n v="89.3171570928546"/>
    <n v="0"/>
    <n v="0"/>
    <n v="0"/>
    <n v="0"/>
    <n v="0"/>
    <n v="0"/>
    <m/>
    <n v="0.267116080919384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4441410621208703"/>
    <n v="0"/>
    <n v="0"/>
    <n v="0"/>
    <n v="7.4"/>
    <n v="2"/>
    <m/>
    <m/>
    <m/>
    <m/>
    <m/>
    <m/>
    <m/>
    <n v="103.875"/>
    <m/>
    <n v="96.761298154975464"/>
    <m/>
    <m/>
    <m/>
    <m/>
    <m/>
    <m/>
    <m/>
    <m/>
    <m/>
    <m/>
    <m/>
    <m/>
    <n v="55.929000000000002"/>
    <n v="-9.512999999999991"/>
    <m/>
    <m/>
    <m/>
    <m/>
    <n v="-30.920999999999996"/>
    <n v="3.8339999999999916"/>
    <n v="31"/>
    <n v="3.9541018225430093"/>
    <n v="0"/>
    <n v="0"/>
    <n v="0"/>
    <n v="0"/>
    <n v="0"/>
    <n v="0"/>
    <n v="0"/>
    <n v="-0.22980351291824874"/>
    <n v="0"/>
    <n v="0"/>
    <n v="3.8326334350215063"/>
    <n v="0"/>
    <n v="0"/>
    <n v="0"/>
    <n v="0.31943094538979899"/>
    <n v="0"/>
    <n v="0"/>
    <m/>
    <n v="0"/>
    <n v="0"/>
    <n v="0"/>
    <n v="0"/>
    <n v="0"/>
    <n v="3.1840955049944997E-2"/>
    <n v="0"/>
    <n v="0"/>
    <m/>
    <m/>
    <m/>
    <n v="60.043442100812101"/>
    <n v="0"/>
    <n v="0"/>
    <n v="-30.921000000000006"/>
    <n v="3.833999999999989"/>
    <n v="0"/>
    <n v="0"/>
    <n v="-31.04162092389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3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49399999999999999"/>
    <n v="0.49399999999999999"/>
    <n v="0.49399999999999999"/>
    <n v="0.49399999999999999"/>
    <m/>
    <n v="325.25"/>
    <n v="297.72000000000003"/>
    <m/>
    <n v="307.74718000000001"/>
    <n v="307.74718000000001"/>
    <n v="263.14391999999998"/>
    <n v="0"/>
    <n v="0"/>
    <n v="0"/>
    <n v="0"/>
    <n v="0"/>
    <n v="49.102366569184184"/>
    <n v="98.871534659337257"/>
    <n v="147.07558534623391"/>
    <n v="0"/>
    <n v="0"/>
    <n v="0"/>
    <n v="0"/>
    <n v="0"/>
    <n v="0"/>
    <m/>
    <n v="0.43985114658058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258018948959034"/>
    <n v="0"/>
    <n v="0"/>
    <n v="0"/>
    <n v="20.89"/>
    <n v="1"/>
    <m/>
    <m/>
    <m/>
    <m/>
    <m/>
    <m/>
    <m/>
    <n v="105.25657999999999"/>
    <m/>
    <n v="159.33360429519294"/>
    <m/>
    <m/>
    <m/>
    <m/>
    <m/>
    <m/>
    <m/>
    <m/>
    <m/>
    <m/>
    <m/>
    <m/>
    <n v="156.60890000000001"/>
    <n v="-28.068420000000003"/>
    <m/>
    <m/>
    <m/>
    <m/>
    <n v="-50.916579999999996"/>
    <n v="6.3133199999999867"/>
    <n v="31"/>
    <n v="6.5110876677874785"/>
    <n v="0"/>
    <n v="0"/>
    <n v="0"/>
    <n v="0"/>
    <n v="0"/>
    <n v="0"/>
    <n v="0"/>
    <n v="-0.37840978460538821"/>
    <n v="0"/>
    <n v="0"/>
    <n v="6.3110697230020776"/>
    <n v="0"/>
    <n v="0"/>
    <n v="0"/>
    <n v="0.52599629007520221"/>
    <n v="0"/>
    <n v="0"/>
    <m/>
    <n v="0"/>
    <n v="0"/>
    <n v="0"/>
    <n v="0"/>
    <n v="0"/>
    <n v="5.2431439315576145E-2"/>
    <n v="0"/>
    <n v="0"/>
    <m/>
    <m/>
    <m/>
    <n v="98.871534659337257"/>
    <n v="0"/>
    <n v="0"/>
    <n v="-50.916579999999982"/>
    <n v="6.3133199999999761"/>
    <n v="0"/>
    <n v="0"/>
    <n v="-51.115202454678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4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72499999999999998"/>
    <n v="0.72499999999999998"/>
    <n v="0.72499999999999998"/>
    <n v="0.72499999999999998"/>
    <m/>
    <n v="325.25"/>
    <n v="297.72000000000003"/>
    <m/>
    <n v="451.65325000000001"/>
    <n v="451.65325000000001"/>
    <n v="386.19299999999998"/>
    <n v="0"/>
    <n v="0"/>
    <n v="0"/>
    <n v="0"/>
    <n v="0"/>
    <n v="72.063189802952493"/>
    <n v="145.10498507696258"/>
    <n v="215.84979630773194"/>
    <n v="0"/>
    <n v="0"/>
    <n v="0"/>
    <n v="0"/>
    <n v="0"/>
    <n v="0"/>
    <m/>
    <n v="0.64553052888851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90007566792102"/>
    <n v="0"/>
    <n v="0"/>
    <n v="0"/>
    <n v="59.23"/>
    <n v="1"/>
    <m/>
    <m/>
    <m/>
    <m/>
    <m/>
    <m/>
    <m/>
    <n v="38.620750000000001"/>
    <m/>
    <n v="233.83980387452402"/>
    <m/>
    <m/>
    <m/>
    <m/>
    <m/>
    <m/>
    <m/>
    <m/>
    <m/>
    <m/>
    <m/>
    <m/>
    <n v="349.96929999999998"/>
    <n v="-56.546449999999993"/>
    <m/>
    <m/>
    <m/>
    <m/>
    <n v="-74.725749999999991"/>
    <n v="9.2654999999999799"/>
    <n v="31"/>
    <n v="9.5557460711455633"/>
    <n v="0"/>
    <n v="0"/>
    <n v="0"/>
    <n v="0"/>
    <n v="0"/>
    <n v="0"/>
    <n v="0"/>
    <n v="-0.55535848955243239"/>
    <n v="0"/>
    <n v="0"/>
    <n v="9.2621974679686332"/>
    <n v="0"/>
    <n v="0"/>
    <n v="0"/>
    <n v="0.77195811802534919"/>
    <n v="0"/>
    <n v="0"/>
    <m/>
    <n v="0"/>
    <n v="0"/>
    <n v="0"/>
    <n v="0"/>
    <n v="0"/>
    <n v="7.6948974704033835E-2"/>
    <n v="0"/>
    <n v="0"/>
    <m/>
    <m/>
    <m/>
    <n v="145.10498507696258"/>
    <n v="0"/>
    <n v="0"/>
    <n v="-74.725750000000005"/>
    <n v="9.2654999999999745"/>
    <n v="0"/>
    <n v="0"/>
    <n v="-75.017250566076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5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2599999999999999"/>
    <n v="0.42599999999999999"/>
    <n v="0.42599999999999999"/>
    <n v="0.42599999999999999"/>
    <m/>
    <n v="325.25"/>
    <n v="297.72000000000003"/>
    <m/>
    <n v="265.38522"/>
    <n v="265.38522"/>
    <n v="226.92167999999998"/>
    <n v="0"/>
    <n v="0"/>
    <n v="0"/>
    <n v="0"/>
    <n v="0"/>
    <n v="42.343336353183119"/>
    <n v="85.261687783153178"/>
    <n v="126.83036307185353"/>
    <n v="0"/>
    <n v="0"/>
    <n v="0"/>
    <n v="0"/>
    <n v="0"/>
    <n v="0"/>
    <m/>
    <n v="0.37930483490552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570680308211635"/>
    <n v="0"/>
    <n v="0"/>
    <n v="0"/>
    <n v="45.05"/>
    <n v="6"/>
    <m/>
    <m/>
    <m/>
    <m/>
    <m/>
    <m/>
    <m/>
    <m/>
    <m/>
    <n v="137.40104338006518"/>
    <m/>
    <m/>
    <m/>
    <m/>
    <m/>
    <m/>
    <m/>
    <m/>
    <m/>
    <m/>
    <m/>
    <m/>
    <n v="229.05239999999998"/>
    <n v="-36.362819999999999"/>
    <m/>
    <m/>
    <m/>
    <m/>
    <n v="-43.907819999999994"/>
    <n v="5.4442799999999885"/>
    <n v="31"/>
    <n v="5.6148245880110323"/>
    <n v="0"/>
    <n v="0"/>
    <n v="0"/>
    <n v="0"/>
    <n v="0"/>
    <n v="0"/>
    <n v="0"/>
    <n v="-0.32632098834391599"/>
    <n v="0"/>
    <n v="0"/>
    <n v="5.4423394777305418"/>
    <n v="0"/>
    <n v="0"/>
    <n v="0"/>
    <n v="0.45359194245351553"/>
    <n v="0"/>
    <n v="0"/>
    <m/>
    <n v="0"/>
    <n v="0"/>
    <n v="0"/>
    <n v="0"/>
    <n v="0"/>
    <n v="4.5214156170921893E-2"/>
    <n v="0"/>
    <n v="0"/>
    <m/>
    <m/>
    <m/>
    <n v="85.261687783153178"/>
    <n v="0"/>
    <n v="0"/>
    <n v="-43.907820000000001"/>
    <n v="5.444279999999992"/>
    <n v="0"/>
    <n v="0"/>
    <n v="-44.07910171192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6"/>
    <s v="Regular"/>
    <s v="Convencional"/>
    <s v="B3"/>
    <s v="Industrial"/>
    <s v="Não se aplica"/>
    <s v="Não se aplica"/>
    <s v="Não se aplica"/>
    <s v="Não se aplica"/>
    <s v="CATIVO"/>
    <x v="11"/>
    <n v="0"/>
    <n v="0"/>
    <n v="0.22600000000000001"/>
    <n v="0.22600000000000001"/>
    <n v="0.22600000000000001"/>
    <n v="0.22600000000000001"/>
    <m/>
    <n v="395.23"/>
    <n v="297.72000000000003"/>
    <m/>
    <n v="156.60670000000002"/>
    <n v="156.60670000000002"/>
    <n v="138.7979"/>
    <n v="0"/>
    <n v="13.698225740443352"/>
    <n v="0"/>
    <n v="0"/>
    <n v="0"/>
    <n v="22.463835717885882"/>
    <n v="45.232726382611787"/>
    <n v="67.28559167661713"/>
    <n v="0"/>
    <n v="0"/>
    <n v="0"/>
    <n v="0"/>
    <n v="0"/>
    <n v="2.1178205535796475"/>
    <m/>
    <n v="0.2012274476259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079196001310558"/>
    <n v="0"/>
    <n v="0"/>
    <n v="0"/>
    <n v="27.55"/>
    <n v="2"/>
    <m/>
    <m/>
    <m/>
    <m/>
    <m/>
    <m/>
    <m/>
    <m/>
    <m/>
    <n v="72.893511276748185"/>
    <m/>
    <m/>
    <m/>
    <m/>
    <m/>
    <m/>
    <m/>
    <m/>
    <m/>
    <m/>
    <m/>
    <m/>
    <n v="141.25450000000001"/>
    <n v="-15.382200000000012"/>
    <m/>
    <m/>
    <m/>
    <m/>
    <n v="-20.69708000000001"/>
    <n v="2.8882799999999937"/>
    <n v="31"/>
    <n v="5.5740578028433703"/>
    <n v="0"/>
    <n v="0"/>
    <n v="0"/>
    <n v="0"/>
    <n v="0"/>
    <n v="0"/>
    <n v="0"/>
    <n v="-0.17311864639841446"/>
    <n v="0"/>
    <n v="0"/>
    <n v="2.8872505210495376"/>
    <n v="0"/>
    <n v="0"/>
    <n v="0"/>
    <n v="0.2406379788603159"/>
    <n v="0"/>
    <n v="2.286876289932799"/>
    <m/>
    <n v="0"/>
    <n v="0"/>
    <n v="0"/>
    <n v="0"/>
    <n v="0.30842480659484783"/>
    <n v="2.3986852804291914E-2"/>
    <n v="0"/>
    <n v="0"/>
    <m/>
    <m/>
    <m/>
    <n v="45.232726382611787"/>
    <n v="0"/>
    <n v="0"/>
    <n v="-20.697080000000014"/>
    <n v="2.8882799999999946"/>
    <n v="0"/>
    <n v="0"/>
    <n v="-23.38468776266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7"/>
    <s v="Regular"/>
    <s v="Azul"/>
    <s v="A4"/>
    <s v="Industrial"/>
    <s v="Não se aplica"/>
    <s v="Não se aplica"/>
    <s v="Não se aplica"/>
    <s v="Ponta"/>
    <s v="CATIVO"/>
    <x v="11"/>
    <n v="715"/>
    <n v="715"/>
    <n v="31.896000000000001"/>
    <n v="31.896000000000001"/>
    <n v="31.896000000000001"/>
    <n v="31.896000000000001"/>
    <n v="78.569999999999993"/>
    <n v="72.290000000000006"/>
    <n v="297.72000000000003"/>
    <n v="56177.549999999996"/>
    <n v="11801.838960000001"/>
    <n v="67979.388959999997"/>
    <n v="50787.362239999995"/>
    <n v="0"/>
    <n v="1681.9433148183537"/>
    <n v="0"/>
    <n v="0"/>
    <n v="0"/>
    <n v="21794.517656357159"/>
    <n v="34384.966773572196"/>
    <n v="9496.2001421123005"/>
    <n v="0"/>
    <n v="0"/>
    <n v="0"/>
    <n v="0"/>
    <n v="0"/>
    <n v="298.89382467688694"/>
    <m/>
    <n v="19.231814523762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5.57811810631279"/>
    <n v="0"/>
    <n v="0"/>
    <n v="0"/>
    <n v="0"/>
    <n v="0"/>
    <m/>
    <m/>
    <m/>
    <m/>
    <m/>
    <m/>
    <m/>
    <m/>
    <m/>
    <n v="9801.7782602186126"/>
    <m/>
    <m/>
    <m/>
    <m/>
    <m/>
    <m/>
    <m/>
    <m/>
    <m/>
    <m/>
    <m/>
    <m/>
    <n v="50788.935999999994"/>
    <n v="-17190.482960000001"/>
    <m/>
    <m/>
    <m/>
    <m/>
    <n v="-17599.657599999999"/>
    <n v="407.63087999999914"/>
    <n v="31"/>
    <n v="579.25408827824867"/>
    <n v="0"/>
    <n v="0"/>
    <n v="0"/>
    <n v="0"/>
    <n v="0"/>
    <n v="0"/>
    <n v="0"/>
    <n v="-167.96051408843778"/>
    <n v="0"/>
    <n v="0"/>
    <n v="407.48558681148643"/>
    <n v="0"/>
    <n v="0"/>
    <n v="0"/>
    <n v="13.112474138060577"/>
    <n v="0"/>
    <n v="280.79521834077605"/>
    <m/>
    <n v="0"/>
    <n v="0"/>
    <n v="0"/>
    <n v="0"/>
    <n v="43.528839075881649"/>
    <n v="2.2924840004852314"/>
    <n v="0"/>
    <n v="0"/>
    <m/>
    <m/>
    <n v="34384.966773572196"/>
    <n v="0"/>
    <n v="0"/>
    <n v="0"/>
    <n v="-17599.657599999999"/>
    <n v="407.6308799999988"/>
    <n v="0"/>
    <n v="0"/>
    <n v="-17776.54755824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8"/>
    <s v="Regular"/>
    <s v="Azul"/>
    <s v="A4"/>
    <s v="Industrial"/>
    <s v="Não se aplica"/>
    <s v="Não se aplica"/>
    <s v="Não se aplica"/>
    <s v="Fora ponta"/>
    <s v="CATIVO"/>
    <x v="11"/>
    <n v="715"/>
    <n v="715"/>
    <n v="214.732"/>
    <n v="214.732"/>
    <n v="214.732"/>
    <n v="214.732"/>
    <n v="25.76"/>
    <n v="72.290000000000006"/>
    <n v="297.72000000000003"/>
    <n v="18418.400000000001"/>
    <n v="79452.98732"/>
    <n v="97871.387320000009"/>
    <n v="97868.958079999997"/>
    <n v="0"/>
    <n v="11323.271001930485"/>
    <n v="0"/>
    <n v="0"/>
    <n v="0"/>
    <n v="8809.0697848288128"/>
    <n v="9608.3573567757503"/>
    <n v="63930.83925620951"/>
    <n v="0"/>
    <n v="0"/>
    <n v="0"/>
    <n v="0"/>
    <n v="0"/>
    <n v="2012.2293942976323"/>
    <m/>
    <n v="129.4734761824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7.2297610109345"/>
    <n v="0"/>
    <n v="0"/>
    <n v="0"/>
    <n v="0"/>
    <n v="0"/>
    <m/>
    <m/>
    <m/>
    <m/>
    <m/>
    <m/>
    <m/>
    <m/>
    <m/>
    <n v="65988.069017220449"/>
    <m/>
    <m/>
    <m/>
    <m/>
    <m/>
    <m/>
    <m/>
    <m/>
    <m/>
    <m/>
    <m/>
    <m/>
    <n v="97868.171199999982"/>
    <n v="-3.2461200000107056"/>
    <m/>
    <m/>
    <m/>
    <m/>
    <n v="-2746.7042000000042"/>
    <n v="2744.2749599999943"/>
    <n v="31"/>
    <n v="4962.5515882192994"/>
    <n v="0"/>
    <n v="0"/>
    <n v="0"/>
    <n v="0"/>
    <n v="0"/>
    <n v="0"/>
    <n v="0"/>
    <n v="-67.88752625912457"/>
    <n v="0"/>
    <n v="0"/>
    <n v="2743.2968092301307"/>
    <n v="0"/>
    <n v="0"/>
    <n v="0"/>
    <n v="88.276517325496116"/>
    <n v="0"/>
    <n v="1890.3849644078091"/>
    <m/>
    <n v="0"/>
    <n v="0"/>
    <n v="0"/>
    <n v="0"/>
    <n v="293.04723703418063"/>
    <n v="15.433586480818747"/>
    <n v="0"/>
    <n v="0"/>
    <m/>
    <m/>
    <n v="9608.3573567757503"/>
    <n v="0"/>
    <n v="0"/>
    <n v="0"/>
    <n v="-2746.7042000000038"/>
    <n v="2744.2749599999879"/>
    <n v="0"/>
    <n v="0"/>
    <n v="-4967.386551050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39"/>
    <s v="Regular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396.6399999999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"/>
    <m/>
    <m/>
    <m/>
    <m/>
    <n v="0"/>
    <m/>
    <m/>
    <m/>
    <m/>
    <n v="0"/>
    <n v="0"/>
    <n v="0"/>
    <n v="0"/>
  </r>
  <r>
    <n v="240"/>
    <s v="Regular"/>
    <s v="Verde"/>
    <s v="A4"/>
    <s v="Industrial"/>
    <s v="Não se aplica"/>
    <s v="Não se aplica"/>
    <s v="Não se aplica"/>
    <s v="Ponta"/>
    <s v="CATIVO"/>
    <x v="11"/>
    <n v="0"/>
    <n v="0"/>
    <n v="56.726999999999997"/>
    <n v="56.726999999999997"/>
    <n v="56.726999999999997"/>
    <n v="56.726999999999997"/>
    <m/>
    <n v="1962.25"/>
    <n v="297.72000000000003"/>
    <m/>
    <n v="128201.31819000001"/>
    <n v="128201.31819000001"/>
    <n v="95290.581869999995"/>
    <n v="0"/>
    <n v="2991.3342870485562"/>
    <n v="0"/>
    <n v="0"/>
    <n v="0"/>
    <n v="41602.529498226504"/>
    <n v="65609.682565105613"/>
    <n v="16888.981234687875"/>
    <n v="0"/>
    <n v="0"/>
    <n v="0"/>
    <n v="0"/>
    <n v="0"/>
    <n v="531.58232983589676"/>
    <m/>
    <n v="34.2037604241753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3.47033815578141"/>
    <n v="0"/>
    <n v="0"/>
    <n v="0"/>
    <n v="0"/>
    <n v="0"/>
    <m/>
    <m/>
    <m/>
    <m/>
    <m/>
    <m/>
    <m/>
    <m/>
    <m/>
    <n v="17432.451572843656"/>
    <m/>
    <m/>
    <m/>
    <m/>
    <m/>
    <m/>
    <m/>
    <m/>
    <m/>
    <m/>
    <m/>
    <m/>
    <n v="95295.621299999984"/>
    <n v="-32905.726890000005"/>
    <m/>
    <m/>
    <m/>
    <m/>
    <n v="-33635.70738"/>
    <n v="724.97105999999837"/>
    <n v="31"/>
    <n v="1008.3084027937657"/>
    <n v="0"/>
    <n v="0"/>
    <n v="0"/>
    <n v="0"/>
    <n v="0"/>
    <n v="0"/>
    <n v="0"/>
    <n v="-320.61192415805272"/>
    <n v="0"/>
    <n v="0"/>
    <n v="724.71265622821738"/>
    <n v="0"/>
    <n v="0"/>
    <n v="0"/>
    <n v="23.320520454908547"/>
    <n v="0"/>
    <n v="499.39397889444444"/>
    <m/>
    <n v="0"/>
    <n v="0"/>
    <n v="0"/>
    <n v="0"/>
    <n v="77.415991166840286"/>
    <n v="4.0771802074092562"/>
    <n v="0"/>
    <n v="0"/>
    <m/>
    <m/>
    <m/>
    <n v="65609.682565105613"/>
    <n v="0"/>
    <n v="0"/>
    <n v="-33635.707380000007"/>
    <n v="724.97105999999621"/>
    <n v="0"/>
    <n v="0"/>
    <n v="-33919.289498818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1"/>
    <s v="Regular"/>
    <s v="Verde"/>
    <s v="A4"/>
    <s v="Industrial"/>
    <s v="Não se aplica"/>
    <s v="Não se aplica"/>
    <s v="Não se aplica"/>
    <s v="Fora ponta"/>
    <s v="CATIVO"/>
    <x v="11"/>
    <n v="0"/>
    <n v="0"/>
    <n v="700.125"/>
    <n v="700.125"/>
    <n v="700.125"/>
    <n v="700.125"/>
    <m/>
    <n v="72.290000000000006"/>
    <n v="297.72000000000003"/>
    <m/>
    <n v="259053.25125000003"/>
    <n v="259053.25125000003"/>
    <n v="275457.18"/>
    <n v="0"/>
    <n v="36919.06707070479"/>
    <n v="0"/>
    <n v="0"/>
    <n v="0"/>
    <n v="0"/>
    <n v="0"/>
    <n v="208443.91536544941"/>
    <n v="0"/>
    <n v="0"/>
    <n v="0"/>
    <n v="0"/>
    <n v="0"/>
    <n v="6560.7925445794281"/>
    <m/>
    <n v="422.14303183626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07.5144199643291"/>
    <n v="0"/>
    <n v="0"/>
    <n v="0"/>
    <n v="0"/>
    <n v="0"/>
    <m/>
    <m/>
    <m/>
    <m/>
    <m/>
    <m/>
    <m/>
    <m/>
    <m/>
    <n v="215151.42978541375"/>
    <m/>
    <m/>
    <m/>
    <m/>
    <m/>
    <m/>
    <m/>
    <m/>
    <m/>
    <m/>
    <m/>
    <m/>
    <n v="275459.14720000001"/>
    <n v="16405.865949999948"/>
    <m/>
    <m/>
    <m/>
    <m/>
    <n v="7456.3312499999938"/>
    <n v="8947.5974999999817"/>
    <n v="31"/>
    <n v="16401.543249372335"/>
    <n v="0"/>
    <n v="0"/>
    <n v="0"/>
    <n v="0"/>
    <n v="0"/>
    <n v="0"/>
    <n v="0"/>
    <n v="0"/>
    <n v="0"/>
    <n v="0"/>
    <n v="8944.4082789814565"/>
    <n v="0"/>
    <n v="0"/>
    <n v="0"/>
    <n v="287.82201391740909"/>
    <n v="0"/>
    <n v="6163.5237095822595"/>
    <m/>
    <n v="0"/>
    <n v="0"/>
    <n v="0"/>
    <n v="0"/>
    <n v="955.4686624655651"/>
    <n v="50.320584425624588"/>
    <n v="0"/>
    <n v="0"/>
    <m/>
    <m/>
    <m/>
    <n v="0"/>
    <n v="0"/>
    <n v="0"/>
    <n v="7456.3312499999956"/>
    <n v="8947.5974999999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2"/>
    <s v="Regular"/>
    <s v="Verde"/>
    <s v="A4"/>
    <s v="Industrial"/>
    <s v="Não se aplica"/>
    <s v="Não se aplica"/>
    <s v="Não se aplica"/>
    <s v="Não se aplica"/>
    <s v="CATIVO"/>
    <x v="11"/>
    <n v="3050"/>
    <n v="3050"/>
    <n v="0"/>
    <n v="0"/>
    <n v="0"/>
    <n v="0"/>
    <n v="25.76"/>
    <m/>
    <m/>
    <n v="78568"/>
    <m/>
    <n v="78568"/>
    <n v="57096"/>
    <n v="0"/>
    <n v="0"/>
    <n v="0"/>
    <n v="0"/>
    <n v="0"/>
    <n v="37577.150830388644"/>
    <n v="40986.699214218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3466.69"/>
    <n v="3"/>
    <m/>
    <m/>
    <m/>
    <m/>
    <m/>
    <m/>
    <m/>
    <m/>
    <m/>
    <n v="0"/>
    <m/>
    <m/>
    <m/>
    <m/>
    <m/>
    <m/>
    <m/>
    <m/>
    <m/>
    <m/>
    <m/>
    <m/>
    <n v="57096"/>
    <n v="-21472.029999999984"/>
    <m/>
    <m/>
    <m/>
    <m/>
    <n v="-21472.000000000007"/>
    <n v="0"/>
    <n v="31"/>
    <n v="-289.59014697948442"/>
    <n v="0"/>
    <n v="0"/>
    <n v="0"/>
    <n v="0"/>
    <m/>
    <m/>
    <m/>
    <n v="-289.59014697948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986.699214218235"/>
    <m/>
    <n v="0"/>
    <n v="0"/>
    <n v="-21472"/>
    <m/>
    <n v="0"/>
    <m/>
    <n v="-21189.551021962558"/>
    <m/>
    <n v="0"/>
    <n v="0"/>
    <m/>
    <n v="0"/>
    <n v="0"/>
    <n v="0"/>
    <n v="0"/>
    <n v="0"/>
    <m/>
    <m/>
    <n v="0"/>
    <n v="0"/>
    <m/>
    <n v="0"/>
    <m/>
    <n v="0"/>
    <m/>
    <n v="232"/>
    <m/>
    <m/>
    <m/>
    <m/>
    <n v="0"/>
    <m/>
    <m/>
    <m/>
    <m/>
    <n v="0"/>
    <n v="0"/>
    <n v="0"/>
    <n v="0"/>
  </r>
  <r>
    <n v="243"/>
    <s v="Regular"/>
    <s v="Convencional"/>
    <s v="B3"/>
    <s v="Comercial"/>
    <s v="Não se aplica"/>
    <s v="Não se aplica"/>
    <s v="Não se aplica"/>
    <s v="Não se aplica"/>
    <s v="CATIVO"/>
    <x v="11"/>
    <n v="0"/>
    <n v="0"/>
    <n v="21.457999999999998"/>
    <n v="21.457999999999998"/>
    <n v="21.457999999999998"/>
    <n v="21.457999999999998"/>
    <m/>
    <n v="395.23"/>
    <n v="297.72000000000003"/>
    <m/>
    <n v="14869.321100000001"/>
    <n v="14869.321100000001"/>
    <n v="13178.430699999999"/>
    <n v="0"/>
    <n v="1300.6041059222716"/>
    <n v="0"/>
    <n v="0"/>
    <n v="0"/>
    <n v="2132.8716231610406"/>
    <n v="4294.7072686640868"/>
    <n v="6388.5585229949129"/>
    <n v="0"/>
    <n v="0"/>
    <n v="0"/>
    <n v="0"/>
    <n v="0"/>
    <n v="201.08050194120386"/>
    <m/>
    <n v="19.105922881227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2.45459636996543"/>
    <n v="0"/>
    <n v="0"/>
    <n v="0"/>
    <n v="2475.96"/>
    <n v="49"/>
    <m/>
    <m/>
    <m/>
    <m/>
    <m/>
    <m/>
    <m/>
    <m/>
    <m/>
    <n v="6921.0131193648785"/>
    <m/>
    <m/>
    <m/>
    <m/>
    <m/>
    <m/>
    <m/>
    <m/>
    <m/>
    <m/>
    <m/>
    <m/>
    <n v="13179.659"/>
    <n v="-1689.692100000002"/>
    <m/>
    <m/>
    <m/>
    <m/>
    <n v="-1965.1236400000007"/>
    <n v="274.2332399999994"/>
    <n v="31"/>
    <n v="529.2395235991753"/>
    <n v="0"/>
    <n v="0"/>
    <n v="0"/>
    <n v="0"/>
    <n v="0"/>
    <n v="0"/>
    <n v="0"/>
    <n v="-16.437079267332592"/>
    <n v="0"/>
    <n v="0"/>
    <n v="274.13549416230489"/>
    <n v="0"/>
    <n v="0"/>
    <n v="0"/>
    <n v="22.847830753914423"/>
    <n v="0"/>
    <n v="217.13182048397357"/>
    <m/>
    <n v="0"/>
    <n v="0"/>
    <n v="0"/>
    <n v="0"/>
    <n v="29.283980088107256"/>
    <n v="2.2774773782057345"/>
    <n v="0"/>
    <n v="0"/>
    <m/>
    <m/>
    <m/>
    <n v="4294.7072686640868"/>
    <n v="0"/>
    <n v="0"/>
    <n v="-1965.1236400000007"/>
    <n v="274.23323999999957"/>
    <n v="0"/>
    <n v="0"/>
    <n v="-2220.3036726163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4"/>
    <s v="Regular"/>
    <s v="Convencional"/>
    <s v="B2"/>
    <s v="Rural"/>
    <s v="Não se aplica"/>
    <s v="Não se aplica"/>
    <s v="Não se aplica"/>
    <s v="Não se aplica"/>
    <s v="CATIVO"/>
    <x v="11"/>
    <n v="0"/>
    <n v="0"/>
    <n v="433.69900000000001"/>
    <n v="433.69900000000001"/>
    <n v="433.69900000000001"/>
    <n v="433.69900000000001"/>
    <m/>
    <n v="395.23"/>
    <n v="297.72000000000003"/>
    <m/>
    <n v="300531.72205000004"/>
    <n v="300531.72205000004"/>
    <n v="266356.24085"/>
    <n v="0"/>
    <n v="26287.198254002393"/>
    <n v="0"/>
    <n v="0"/>
    <n v="0"/>
    <n v="43108.597730138885"/>
    <n v="86802.602652267029"/>
    <n v="129122.53904671315"/>
    <n v="0"/>
    <n v="0"/>
    <n v="0"/>
    <n v="0"/>
    <n v="0"/>
    <n v="4064.1444967563698"/>
    <m/>
    <n v="386.15992392885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61.721781669197"/>
    <n v="0"/>
    <n v="0.4"/>
    <n v="1.86"/>
    <n v="43979.59"/>
    <n v="939"/>
    <m/>
    <m/>
    <m/>
    <m/>
    <m/>
    <n v="31963.616299999994"/>
    <m/>
    <m/>
    <m/>
    <n v="139884.26082838234"/>
    <m/>
    <m/>
    <m/>
    <m/>
    <m/>
    <m/>
    <m/>
    <m/>
    <m/>
    <m/>
    <m/>
    <m/>
    <n v="234393.16499999998"/>
    <n v="-30076.515200000082"/>
    <m/>
    <m/>
    <m/>
    <m/>
    <n v="-39718.154420000021"/>
    <n v="5542.6732199999888"/>
    <n v="31"/>
    <n v="10696.740243519336"/>
    <n v="0"/>
    <n v="0"/>
    <n v="0"/>
    <n v="0"/>
    <n v="0"/>
    <n v="0"/>
    <n v="0"/>
    <n v="-332.21851249710016"/>
    <n v="0"/>
    <n v="0"/>
    <n v="5540.6976271179738"/>
    <n v="0"/>
    <n v="0"/>
    <n v="0"/>
    <n v="461.78960528203606"/>
    <n v="0"/>
    <n v="4388.5661949892274"/>
    <m/>
    <n v="0"/>
    <n v="0"/>
    <n v="0"/>
    <n v="0"/>
    <n v="591.87402741318101"/>
    <n v="46.031301214020345"/>
    <n v="0"/>
    <n v="0"/>
    <m/>
    <m/>
    <m/>
    <n v="86802.602652267029"/>
    <n v="0"/>
    <n v="0"/>
    <n v="-39718.154420000035"/>
    <n v="5542.6732199999969"/>
    <n v="0"/>
    <n v="0"/>
    <n v="-44875.733176905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5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30.49"/>
    <n v="30.49"/>
    <n v="30.49"/>
    <n v="30.49"/>
    <m/>
    <n v="395.23"/>
    <n v="297.72000000000003"/>
    <m/>
    <n v="21128.0455"/>
    <n v="21128.0455"/>
    <n v="18725.433499999999"/>
    <n v="0"/>
    <n v="1848.0482425934415"/>
    <n v="0"/>
    <n v="0"/>
    <n v="0"/>
    <n v="3030.6298718510639"/>
    <n v="6102.4151655125361"/>
    <n v="9077.6003992037877"/>
    <n v="0"/>
    <n v="0"/>
    <n v="0"/>
    <n v="0"/>
    <n v="0"/>
    <n v="285.71835698514803"/>
    <m/>
    <n v="27.147897690773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6.57286994688445"/>
    <n v="0"/>
    <n v="0"/>
    <n v="0"/>
    <n v="8700.01"/>
    <n v="32"/>
    <m/>
    <m/>
    <m/>
    <m/>
    <m/>
    <n v="2247.1129999999994"/>
    <m/>
    <m/>
    <m/>
    <n v="9834.1732691506713"/>
    <m/>
    <m/>
    <m/>
    <m/>
    <m/>
    <m/>
    <m/>
    <m/>
    <m/>
    <m/>
    <m/>
    <m/>
    <n v="16478.320500000002"/>
    <n v="-2114.5114999999969"/>
    <m/>
    <m/>
    <m/>
    <m/>
    <n v="-2792.2742000000012"/>
    <n v="389.66219999999913"/>
    <n v="31"/>
    <n v="752.00452393227715"/>
    <n v="0"/>
    <n v="0"/>
    <n v="0"/>
    <n v="0"/>
    <n v="0"/>
    <n v="0"/>
    <n v="0"/>
    <n v="-23.355697029591283"/>
    <n v="0"/>
    <n v="0"/>
    <n v="389.52331144602067"/>
    <n v="0"/>
    <n v="0"/>
    <n v="0"/>
    <n v="32.464831749783229"/>
    <n v="0"/>
    <n v="308.52592070819037"/>
    <m/>
    <n v="0"/>
    <n v="0"/>
    <n v="0"/>
    <n v="0"/>
    <n v="41.610054659632283"/>
    <n v="3.2361023982427461"/>
    <n v="0"/>
    <n v="0"/>
    <m/>
    <m/>
    <m/>
    <n v="6102.4151655125361"/>
    <n v="0"/>
    <n v="0"/>
    <n v="-2792.2742000000017"/>
    <n v="389.66219999999885"/>
    <n v="0"/>
    <n v="0"/>
    <n v="-3154.8634065650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6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0.86499999999999999"/>
    <n v="0.86499999999999999"/>
    <n v="0.86499999999999999"/>
    <n v="0.86499999999999999"/>
    <m/>
    <n v="395.23"/>
    <n v="297.72000000000003"/>
    <m/>
    <n v="599.40174999999999"/>
    <n v="599.40174999999999"/>
    <n v="531.23974999999996"/>
    <n v="0"/>
    <n v="52.429049847272118"/>
    <n v="0"/>
    <n v="0"/>
    <n v="0"/>
    <n v="85.978840247660557"/>
    <n v="173.12525805734157"/>
    <n v="257.53113628439741"/>
    <n v="0"/>
    <n v="0"/>
    <n v="0"/>
    <n v="0"/>
    <n v="0"/>
    <n v="8.1058176055150231"/>
    <m/>
    <n v="0.77018469998422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63940062448508"/>
    <n v="0"/>
    <n v="0"/>
    <n v="0"/>
    <n v="105.48"/>
    <n v="17"/>
    <m/>
    <m/>
    <m/>
    <m/>
    <m/>
    <m/>
    <m/>
    <m/>
    <m/>
    <n v="278.99507634684591"/>
    <m/>
    <m/>
    <m/>
    <m/>
    <m/>
    <m/>
    <m/>
    <m/>
    <m/>
    <m/>
    <m/>
    <m/>
    <n v="534.31050000000005"/>
    <n v="-65.121249999999918"/>
    <m/>
    <m/>
    <m/>
    <m/>
    <n v="-79.216700000000031"/>
    <n v="11.054699999999976"/>
    <n v="31"/>
    <n v="21.334336280794446"/>
    <n v="0"/>
    <n v="0"/>
    <n v="0"/>
    <n v="0"/>
    <n v="0"/>
    <n v="0"/>
    <n v="0"/>
    <n v="-0.66260012891427778"/>
    <n v="0"/>
    <n v="0"/>
    <n v="11.050759737645365"/>
    <n v="0"/>
    <n v="0"/>
    <n v="0"/>
    <n v="0.92102589254059097"/>
    <n v="0"/>
    <n v="8.7528672158932395"/>
    <m/>
    <n v="0"/>
    <n v="0"/>
    <n v="0"/>
    <n v="0"/>
    <n v="1.1804754765687751"/>
    <n v="9.1808087060674892E-2"/>
    <n v="0"/>
    <n v="0"/>
    <m/>
    <m/>
    <m/>
    <n v="173.12525805734157"/>
    <n v="0"/>
    <n v="0"/>
    <n v="-79.21670000000006"/>
    <n v="11.054699999999968"/>
    <n v="0"/>
    <n v="0"/>
    <n v="-89.50334033056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7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1.538"/>
    <n v="21.538"/>
    <n v="21.538"/>
    <n v="21.538"/>
    <m/>
    <n v="217.38"/>
    <n v="163.75"/>
    <m/>
    <n v="8208.7779399999999"/>
    <n v="8208.7779399999999"/>
    <n v="7275.1056399999998"/>
    <n v="0"/>
    <n v="717.99916946335372"/>
    <n v="0"/>
    <n v="0"/>
    <n v="0"/>
    <n v="1177.4528828783377"/>
    <n v="2370.8953692733699"/>
    <n v="3526.8070373541523"/>
    <n v="0"/>
    <n v="0"/>
    <n v="0"/>
    <n v="0"/>
    <n v="0"/>
    <n v="111.00659511349171"/>
    <m/>
    <n v="10.5474346098764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.94183535925879"/>
    <n v="0"/>
    <n v="0"/>
    <n v="0"/>
    <n v="1490.08"/>
    <n v="1"/>
    <m/>
    <m/>
    <m/>
    <m/>
    <m/>
    <m/>
    <m/>
    <m/>
    <m/>
    <n v="3820.7488727134109"/>
    <m/>
    <m/>
    <m/>
    <m/>
    <m/>
    <m/>
    <m/>
    <m/>
    <m/>
    <m/>
    <m/>
    <m/>
    <n v="7275.7811999999994"/>
    <n v="-933.02674000000115"/>
    <m/>
    <m/>
    <m/>
    <m/>
    <n v="-1084.8690600000002"/>
    <n v="151.19676000000021"/>
    <n v="31"/>
    <n v="292.1669527730246"/>
    <n v="0"/>
    <n v="0"/>
    <n v="0"/>
    <n v="0"/>
    <n v="0"/>
    <n v="0"/>
    <n v="0"/>
    <n v="-9.0740981122605717"/>
    <n v="0"/>
    <n v="0"/>
    <n v="151.33664135974277"/>
    <n v="0"/>
    <n v="0"/>
    <n v="0"/>
    <n v="12.613156786643515"/>
    <n v="0"/>
    <n v="119.86773381820694"/>
    <m/>
    <n v="0"/>
    <n v="0"/>
    <n v="0"/>
    <n v="0"/>
    <n v="16.166236355938167"/>
    <n v="1.2572825647538224"/>
    <n v="0"/>
    <n v="0"/>
    <m/>
    <m/>
    <m/>
    <n v="2370.8953692733699"/>
    <n v="0"/>
    <n v="0"/>
    <n v="-1084.8690600000004"/>
    <n v="151.19676000000027"/>
    <n v="0"/>
    <n v="0"/>
    <n v="-1225.7197910078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  <r>
    <n v="248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0.52200000000000002"/>
    <n v="0.49068000000000001"/>
    <n v="0.52200000000000002"/>
    <n v="0.49068000000000001"/>
    <m/>
    <n v="395.23"/>
    <n v="297.72000000000003"/>
    <m/>
    <n v="361.71990000000005"/>
    <n v="361.71990000000005"/>
    <n v="320.58630000000005"/>
    <n v="0"/>
    <n v="31.63926476332491"/>
    <n v="0"/>
    <n v="0"/>
    <n v="0"/>
    <n v="51.885496658125795"/>
    <n v="104.47558925541307"/>
    <n v="155.411853341567"/>
    <n v="0"/>
    <n v="0"/>
    <n v="0"/>
    <n v="0"/>
    <n v="0"/>
    <n v="4.8916032255246726"/>
    <m/>
    <n v="0.46478198079972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952805448090315"/>
    <n v="0"/>
    <n v="0"/>
    <n v="0"/>
    <n v="63.63"/>
    <n v="2"/>
    <m/>
    <m/>
    <m/>
    <m/>
    <n v="19.235178000000008"/>
    <m/>
    <m/>
    <m/>
    <m/>
    <n v="168.36465878965731"/>
    <m/>
    <m/>
    <m/>
    <m/>
    <m/>
    <m/>
    <m/>
    <m/>
    <m/>
    <m/>
    <m/>
    <m/>
    <n v="300.93349999999998"/>
    <n v="-39.113205999999991"/>
    <m/>
    <m/>
    <m/>
    <m/>
    <n v="-47.804760000000023"/>
    <n v="6.6711599999999862"/>
    <n v="31"/>
    <n v="12.87459368621353"/>
    <n v="0"/>
    <n v="0"/>
    <n v="0"/>
    <n v="0"/>
    <n v="0"/>
    <n v="0"/>
    <n v="0"/>
    <n v="-0.3998581124777516"/>
    <n v="0"/>
    <n v="0"/>
    <n v="6.6687821769374409"/>
    <n v="0"/>
    <n v="0"/>
    <n v="0"/>
    <n v="0.55580984497825092"/>
    <n v="0"/>
    <n v="5.2820770944465565"/>
    <m/>
    <n v="0"/>
    <n v="0"/>
    <n v="0"/>
    <n v="0"/>
    <n v="0.71237942054208236"/>
    <n v="5.5403261786904356E-2"/>
    <n v="0"/>
    <n v="0"/>
    <m/>
    <m/>
    <m/>
    <n v="104.47558925541307"/>
    <n v="0"/>
    <n v="0"/>
    <n v="-47.804760000000016"/>
    <n v="6.6711599999999862"/>
    <n v="0"/>
    <n v="0"/>
    <n v="-54.012420407575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235" totalsRowShown="0">
  <autoFilter ref="A1:X235" xr:uid="{BB6801E4-6272-476E-A69A-A8D66091D28D}">
    <filterColumn colId="6">
      <filters>
        <filter val="2022"/>
      </filters>
    </filterColumn>
  </autoFilter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3557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247" totalsRowShown="0" headerRowDxfId="447" dataDxfId="446" totalsRowDxfId="445">
  <autoFilter ref="A2:FI247" xr:uid="{00000000-000C-0000-FFFF-FFFF12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C-0000-FFFF-FFFF11000000}">
    <filterColumn colId="1">
      <filters>
        <filter val="(1.049,90)"/>
        <filter val="(1.494.125,15)"/>
        <filter val="(17.322,63)"/>
        <filter val="(33.595,79)"/>
        <filter val="(95.422,93)"/>
        <filter val="(95.594,39)"/>
        <filter val="10.073,38"/>
        <filter val="150.933,83"/>
        <filter val="186.243,66"/>
        <filter val="64.714,84"/>
        <filter val="8.163,58"/>
      </filters>
    </filterColumn>
  </autoFilter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2037</v>
      </c>
    </row>
    <row r="2" spans="1:15">
      <c r="A2">
        <v>252</v>
      </c>
      <c r="B2" s="908">
        <v>43922</v>
      </c>
      <c r="C2" s="232"/>
      <c r="D2" s="232"/>
      <c r="E2" s="232"/>
      <c r="F2" s="232"/>
      <c r="G2" s="232"/>
      <c r="H2" s="232"/>
      <c r="I2" s="909"/>
    </row>
    <row r="3" spans="1:15">
      <c r="A3">
        <v>255</v>
      </c>
      <c r="B3" s="908">
        <v>43922</v>
      </c>
      <c r="C3" s="232"/>
      <c r="D3" s="232"/>
      <c r="E3" s="232"/>
      <c r="F3" s="232"/>
      <c r="G3" s="232"/>
      <c r="H3" s="232"/>
      <c r="I3" s="909"/>
    </row>
    <row r="4" spans="1:15">
      <c r="A4">
        <v>206</v>
      </c>
      <c r="B4" s="908">
        <v>43922</v>
      </c>
      <c r="C4" s="232"/>
      <c r="D4" s="232"/>
      <c r="E4" s="232"/>
      <c r="F4" s="232"/>
      <c r="G4" s="232"/>
      <c r="H4" s="232"/>
      <c r="I4" s="909"/>
    </row>
    <row r="5" spans="1:15">
      <c r="A5">
        <v>256</v>
      </c>
      <c r="B5" s="908">
        <v>43922</v>
      </c>
      <c r="C5" s="232"/>
      <c r="D5" s="232"/>
      <c r="E5" s="232"/>
      <c r="F5" s="232"/>
      <c r="G5" s="232"/>
      <c r="H5" s="232"/>
      <c r="I5" s="909"/>
      <c r="J5" s="232">
        <v>4154376.2782662762</v>
      </c>
    </row>
    <row r="6" spans="1:15">
      <c r="A6">
        <v>203</v>
      </c>
      <c r="B6" s="908">
        <v>43952</v>
      </c>
      <c r="C6" s="232"/>
      <c r="D6" s="232"/>
      <c r="E6" s="232"/>
      <c r="F6" s="232"/>
      <c r="G6" s="232"/>
      <c r="H6" s="232"/>
      <c r="I6" s="909"/>
      <c r="J6" s="232"/>
    </row>
    <row r="7" spans="1:15">
      <c r="A7">
        <v>211</v>
      </c>
      <c r="B7" s="908">
        <v>43952</v>
      </c>
      <c r="C7" s="232"/>
      <c r="D7" s="232"/>
      <c r="E7" s="232"/>
      <c r="F7" s="232"/>
      <c r="G7" s="232"/>
      <c r="H7" s="232"/>
      <c r="I7" s="909"/>
      <c r="J7" s="232">
        <v>18046086.986190885</v>
      </c>
      <c r="N7" s="232"/>
      <c r="O7" s="909"/>
    </row>
    <row r="8" spans="1:15">
      <c r="A8">
        <v>254</v>
      </c>
      <c r="B8" s="908">
        <v>43952</v>
      </c>
      <c r="C8" s="232"/>
      <c r="D8" s="232"/>
      <c r="E8" s="232"/>
      <c r="F8" s="232"/>
      <c r="G8" s="232"/>
      <c r="H8" s="232"/>
      <c r="I8" s="909"/>
      <c r="N8" s="232"/>
      <c r="O8" s="909"/>
    </row>
    <row r="9" spans="1:15">
      <c r="A9">
        <v>210</v>
      </c>
      <c r="B9" s="908">
        <v>43952</v>
      </c>
      <c r="C9" s="232"/>
      <c r="D9" s="232"/>
      <c r="E9" s="232"/>
      <c r="F9" s="232"/>
      <c r="G9" s="232"/>
      <c r="H9" s="232"/>
      <c r="I9" s="909"/>
      <c r="N9" s="232"/>
      <c r="O9" s="909"/>
    </row>
    <row r="10" spans="1:15">
      <c r="A10">
        <v>258</v>
      </c>
      <c r="B10" s="908">
        <v>44013</v>
      </c>
      <c r="C10" s="232"/>
      <c r="D10" s="232"/>
      <c r="E10" s="232"/>
      <c r="F10" s="232"/>
      <c r="G10" s="232"/>
      <c r="H10" s="232"/>
      <c r="I10" s="909"/>
    </row>
    <row r="11" spans="1:15">
      <c r="A11">
        <v>247</v>
      </c>
      <c r="B11" s="908">
        <v>44013</v>
      </c>
      <c r="C11" s="232"/>
      <c r="D11" s="232"/>
      <c r="E11" s="232"/>
      <c r="F11" s="232"/>
      <c r="G11" s="232"/>
      <c r="H11" s="232"/>
      <c r="I11" s="909"/>
    </row>
    <row r="12" spans="1:15">
      <c r="A12">
        <v>248</v>
      </c>
      <c r="B12" s="908">
        <v>44013</v>
      </c>
      <c r="C12" s="232"/>
      <c r="D12" s="232"/>
      <c r="E12" s="232"/>
      <c r="F12" s="232"/>
      <c r="G12" s="232"/>
      <c r="H12" s="232"/>
      <c r="I12" s="910"/>
    </row>
    <row r="13" spans="1:15">
      <c r="A13">
        <v>209</v>
      </c>
      <c r="B13" s="908">
        <v>44013</v>
      </c>
      <c r="C13" s="232"/>
      <c r="D13" s="232"/>
      <c r="E13" s="232"/>
      <c r="F13" s="232"/>
      <c r="G13" s="232"/>
      <c r="H13" s="232"/>
      <c r="I13" s="909"/>
    </row>
    <row r="14" spans="1:15">
      <c r="A14">
        <v>207</v>
      </c>
      <c r="B14" s="908">
        <v>44013</v>
      </c>
      <c r="C14" s="232"/>
      <c r="D14" s="232"/>
      <c r="E14" s="232"/>
      <c r="F14" s="232"/>
      <c r="G14" s="232"/>
      <c r="H14" s="232"/>
      <c r="I14" s="909"/>
    </row>
    <row r="15" spans="1:15">
      <c r="A15">
        <v>249</v>
      </c>
      <c r="B15" s="908">
        <v>44013</v>
      </c>
      <c r="C15" s="232"/>
      <c r="D15" s="232"/>
      <c r="E15" s="232"/>
      <c r="F15" s="232"/>
      <c r="G15" s="232"/>
      <c r="H15" s="232"/>
      <c r="I15" s="909"/>
    </row>
    <row r="16" spans="1:15">
      <c r="A16">
        <v>237</v>
      </c>
      <c r="B16" s="908">
        <v>44013</v>
      </c>
      <c r="C16" s="232"/>
      <c r="D16" s="232"/>
      <c r="E16" s="232"/>
      <c r="F16" s="232"/>
      <c r="G16" s="232"/>
      <c r="H16" s="232"/>
      <c r="I16" s="910"/>
    </row>
    <row r="17" spans="1:10">
      <c r="A17">
        <v>246</v>
      </c>
      <c r="B17" s="908">
        <v>44013</v>
      </c>
      <c r="C17" s="232"/>
      <c r="D17" s="232"/>
      <c r="E17" s="232"/>
      <c r="F17" s="232"/>
      <c r="G17" s="232"/>
      <c r="H17" s="232"/>
      <c r="I17" s="909"/>
    </row>
    <row r="18" spans="1:10">
      <c r="A18">
        <v>238</v>
      </c>
      <c r="B18" s="908">
        <v>44013</v>
      </c>
      <c r="C18" s="232"/>
      <c r="D18" s="232"/>
      <c r="E18" s="232"/>
      <c r="F18" s="232"/>
      <c r="G18" s="232"/>
      <c r="H18" s="232"/>
      <c r="I18" s="909"/>
    </row>
    <row r="19" spans="1:10">
      <c r="A19">
        <v>240</v>
      </c>
      <c r="B19" s="908">
        <v>44013</v>
      </c>
      <c r="C19" s="232"/>
      <c r="D19" s="232"/>
      <c r="E19" s="232"/>
      <c r="F19" s="232"/>
      <c r="G19" s="232"/>
      <c r="H19" s="232"/>
      <c r="I19" s="909"/>
      <c r="J19" s="232">
        <v>81721407.839354143</v>
      </c>
    </row>
    <row r="20" spans="1:10">
      <c r="A20">
        <v>242</v>
      </c>
      <c r="B20" s="908">
        <v>44013</v>
      </c>
      <c r="C20" s="232"/>
      <c r="D20" s="232"/>
      <c r="E20" s="232"/>
      <c r="F20" s="232"/>
      <c r="G20" s="232"/>
      <c r="H20" s="232"/>
      <c r="I20" s="909"/>
    </row>
    <row r="21" spans="1:10">
      <c r="A21">
        <v>245</v>
      </c>
      <c r="B21" s="908">
        <v>44013</v>
      </c>
      <c r="C21" s="232"/>
      <c r="D21" s="232"/>
      <c r="E21" s="232"/>
      <c r="F21" s="232"/>
      <c r="G21" s="232"/>
      <c r="H21" s="232"/>
      <c r="I21" s="909"/>
    </row>
    <row r="22" spans="1:10">
      <c r="A22">
        <v>257</v>
      </c>
      <c r="B22" s="908">
        <v>44013</v>
      </c>
      <c r="C22" s="232"/>
      <c r="D22" s="232"/>
      <c r="E22" s="232"/>
      <c r="F22" s="232"/>
      <c r="G22" s="232"/>
      <c r="H22" s="232"/>
      <c r="I22" s="909"/>
    </row>
    <row r="23" spans="1:10">
      <c r="A23">
        <v>239</v>
      </c>
      <c r="B23" s="908">
        <v>44013</v>
      </c>
      <c r="C23" s="232"/>
      <c r="D23" s="232"/>
      <c r="E23" s="232"/>
      <c r="F23" s="232"/>
      <c r="G23" s="232"/>
      <c r="H23" s="232"/>
      <c r="I23" s="909"/>
    </row>
    <row r="24" spans="1:10">
      <c r="A24">
        <v>232</v>
      </c>
      <c r="B24" s="908">
        <v>44075</v>
      </c>
      <c r="C24" s="232"/>
      <c r="D24" s="232"/>
      <c r="E24" s="232"/>
      <c r="F24" s="232"/>
      <c r="G24" s="232"/>
      <c r="H24" s="232"/>
      <c r="I24" s="909"/>
    </row>
    <row r="25" spans="1:10">
      <c r="A25">
        <v>222</v>
      </c>
      <c r="B25" s="908">
        <v>44075</v>
      </c>
      <c r="C25" s="232"/>
      <c r="D25" s="232"/>
      <c r="E25" s="232"/>
      <c r="F25" s="232"/>
      <c r="G25" s="232"/>
      <c r="H25" s="232"/>
      <c r="I25" s="909"/>
    </row>
    <row r="26" spans="1:10">
      <c r="A26">
        <v>202</v>
      </c>
      <c r="B26" s="908">
        <v>44075</v>
      </c>
      <c r="C26" s="232"/>
      <c r="D26" s="232"/>
      <c r="E26" s="232"/>
      <c r="F26" s="232"/>
      <c r="G26" s="232"/>
      <c r="H26" s="232"/>
      <c r="I26" s="909"/>
    </row>
    <row r="27" spans="1:10">
      <c r="A27">
        <v>260</v>
      </c>
      <c r="B27" s="908">
        <v>44075</v>
      </c>
      <c r="C27" s="232"/>
      <c r="D27" s="232"/>
      <c r="E27" s="232"/>
      <c r="F27" s="232"/>
      <c r="G27" s="232"/>
      <c r="H27" s="232"/>
      <c r="I27" s="909"/>
    </row>
    <row r="28" spans="1:10">
      <c r="A28">
        <v>230</v>
      </c>
      <c r="B28" s="908">
        <v>44075</v>
      </c>
      <c r="C28" s="232"/>
      <c r="D28" s="232"/>
      <c r="E28" s="232"/>
      <c r="F28" s="232"/>
      <c r="G28" s="232"/>
      <c r="H28" s="232"/>
      <c r="I28" s="909"/>
    </row>
    <row r="29" spans="1:10">
      <c r="A29">
        <v>221</v>
      </c>
      <c r="B29" s="908">
        <v>44075</v>
      </c>
      <c r="C29" s="232"/>
      <c r="D29" s="232"/>
      <c r="E29" s="232"/>
      <c r="F29" s="232"/>
      <c r="G29" s="232"/>
      <c r="H29" s="232"/>
      <c r="I29" s="909"/>
    </row>
    <row r="30" spans="1:10">
      <c r="A30">
        <v>218</v>
      </c>
      <c r="B30" s="908">
        <v>44075</v>
      </c>
      <c r="C30" s="232"/>
      <c r="D30" s="232"/>
      <c r="E30" s="232"/>
      <c r="F30" s="232"/>
      <c r="G30" s="232"/>
      <c r="H30" s="232"/>
      <c r="I30" s="909"/>
    </row>
    <row r="31" spans="1:10">
      <c r="A31">
        <v>261</v>
      </c>
      <c r="B31" s="908">
        <v>44075</v>
      </c>
      <c r="C31" s="232"/>
      <c r="D31" s="232"/>
      <c r="E31" s="232"/>
      <c r="F31" s="232"/>
      <c r="G31" s="232"/>
      <c r="H31" s="232"/>
      <c r="I31" s="909"/>
    </row>
    <row r="32" spans="1:10">
      <c r="A32">
        <v>262</v>
      </c>
      <c r="B32" s="908">
        <v>44075</v>
      </c>
      <c r="C32" s="232"/>
      <c r="D32" s="232"/>
      <c r="E32" s="232"/>
      <c r="F32" s="232"/>
      <c r="G32" s="232"/>
      <c r="H32" s="232"/>
      <c r="I32" s="909"/>
    </row>
    <row r="33" spans="1:9">
      <c r="A33">
        <v>227</v>
      </c>
      <c r="B33" s="908">
        <v>44075</v>
      </c>
      <c r="C33" s="232"/>
      <c r="D33" s="232"/>
      <c r="E33" s="232"/>
      <c r="F33" s="232"/>
      <c r="G33" s="232"/>
      <c r="H33" s="232"/>
      <c r="I33" s="909"/>
    </row>
    <row r="34" spans="1:9">
      <c r="A34">
        <v>231</v>
      </c>
      <c r="B34" s="908">
        <v>44075</v>
      </c>
      <c r="C34" s="232"/>
      <c r="D34" s="232"/>
      <c r="E34" s="232"/>
      <c r="F34" s="232"/>
      <c r="G34" s="232"/>
      <c r="H34" s="232"/>
      <c r="I34" s="909"/>
    </row>
    <row r="35" spans="1:9">
      <c r="A35">
        <v>216</v>
      </c>
      <c r="B35" s="908">
        <v>44075</v>
      </c>
      <c r="C35" s="232"/>
      <c r="D35" s="232"/>
      <c r="E35" s="232"/>
      <c r="F35" s="232"/>
      <c r="G35" s="232"/>
      <c r="H35" s="232"/>
      <c r="I35" s="909"/>
    </row>
    <row r="36" spans="1:9">
      <c r="A36">
        <v>229</v>
      </c>
      <c r="B36" s="908">
        <v>44075</v>
      </c>
      <c r="C36" s="232"/>
      <c r="D36" s="232"/>
      <c r="E36" s="232"/>
      <c r="F36" s="232"/>
      <c r="G36" s="232"/>
      <c r="H36" s="232"/>
      <c r="I36" s="909"/>
    </row>
    <row r="37" spans="1:9">
      <c r="A37">
        <v>215</v>
      </c>
      <c r="B37" s="908">
        <v>44075</v>
      </c>
      <c r="C37" s="232"/>
      <c r="D37" s="232"/>
      <c r="E37" s="232"/>
      <c r="F37" s="232"/>
      <c r="G37" s="232"/>
      <c r="H37" s="232"/>
      <c r="I37" s="909"/>
    </row>
    <row r="38" spans="1:9">
      <c r="A38">
        <v>224</v>
      </c>
      <c r="B38" s="908">
        <v>44075</v>
      </c>
      <c r="C38" s="232"/>
      <c r="D38" s="232"/>
      <c r="E38" s="232"/>
      <c r="F38" s="232"/>
      <c r="G38" s="232"/>
      <c r="H38" s="232"/>
      <c r="I38" s="909"/>
    </row>
    <row r="39" spans="1:9">
      <c r="A39">
        <v>226</v>
      </c>
      <c r="B39" s="908">
        <v>44075</v>
      </c>
      <c r="C39" s="232"/>
      <c r="D39" s="232"/>
      <c r="E39" s="232"/>
      <c r="F39" s="232"/>
      <c r="G39" s="232"/>
      <c r="H39" s="232"/>
      <c r="I39" s="909"/>
    </row>
    <row r="40" spans="1:9">
      <c r="A40">
        <v>234</v>
      </c>
      <c r="B40" s="908">
        <v>44075</v>
      </c>
      <c r="C40" s="232"/>
      <c r="D40" s="232"/>
      <c r="E40" s="232"/>
      <c r="F40" s="232"/>
      <c r="G40" s="232"/>
      <c r="H40" s="232"/>
      <c r="I40" s="909"/>
    </row>
    <row r="41" spans="1:9">
      <c r="A41">
        <v>223</v>
      </c>
      <c r="B41" s="908">
        <v>44075</v>
      </c>
      <c r="C41" s="232"/>
      <c r="D41" s="232"/>
      <c r="E41" s="232"/>
      <c r="F41" s="232"/>
      <c r="G41" s="232"/>
      <c r="H41" s="232"/>
      <c r="I41" s="909"/>
    </row>
    <row r="42" spans="1:9">
      <c r="A42">
        <v>225</v>
      </c>
      <c r="B42" s="908">
        <v>44075</v>
      </c>
      <c r="C42" s="232"/>
      <c r="D42" s="232"/>
      <c r="E42" s="232"/>
      <c r="F42" s="232"/>
      <c r="G42" s="232"/>
      <c r="H42" s="232"/>
      <c r="I42" s="909"/>
    </row>
    <row r="43" spans="1:9">
      <c r="A43">
        <v>228</v>
      </c>
      <c r="B43" s="908">
        <v>44075</v>
      </c>
      <c r="C43" s="232"/>
      <c r="D43" s="232"/>
      <c r="E43" s="232"/>
      <c r="F43" s="232"/>
      <c r="G43" s="232"/>
      <c r="H43" s="232"/>
      <c r="I43" s="909"/>
    </row>
    <row r="44" spans="1:9">
      <c r="A44">
        <v>220</v>
      </c>
      <c r="B44" s="908">
        <v>44075</v>
      </c>
      <c r="C44" s="232"/>
      <c r="D44" s="232"/>
      <c r="E44" s="232"/>
      <c r="F44" s="232"/>
      <c r="G44" s="232"/>
      <c r="H44" s="232"/>
      <c r="I44" s="909"/>
    </row>
    <row r="45" spans="1:9">
      <c r="A45">
        <v>201</v>
      </c>
      <c r="B45" s="908">
        <v>44136</v>
      </c>
      <c r="C45" s="232"/>
      <c r="D45" s="232"/>
      <c r="E45" s="232"/>
      <c r="F45" s="232"/>
      <c r="G45" s="232"/>
      <c r="H45" s="232"/>
      <c r="I45" s="909"/>
    </row>
    <row r="46" spans="1:9">
      <c r="A46">
        <v>213</v>
      </c>
      <c r="B46" s="908">
        <v>44136</v>
      </c>
      <c r="C46" s="232"/>
      <c r="D46" s="232"/>
      <c r="E46" s="232"/>
      <c r="F46" s="232"/>
      <c r="G46" s="232"/>
      <c r="H46" s="232"/>
      <c r="I46" s="909"/>
    </row>
    <row r="47" spans="1:9">
      <c r="A47">
        <v>219</v>
      </c>
      <c r="B47" s="908">
        <v>44136</v>
      </c>
      <c r="C47" s="232"/>
      <c r="D47" s="232"/>
      <c r="E47" s="232"/>
      <c r="F47" s="232"/>
      <c r="G47" s="232"/>
      <c r="H47" s="232"/>
      <c r="I47" s="909"/>
    </row>
    <row r="48" spans="1:9">
      <c r="A48">
        <v>205</v>
      </c>
      <c r="B48" s="908">
        <v>44136</v>
      </c>
      <c r="C48" s="232"/>
      <c r="D48" s="232"/>
      <c r="E48" s="232"/>
      <c r="F48" s="232"/>
      <c r="G48" s="232"/>
      <c r="H48" s="232"/>
      <c r="I48" s="909"/>
    </row>
    <row r="49" spans="1:10">
      <c r="A49">
        <v>208</v>
      </c>
      <c r="B49" s="908">
        <v>44136</v>
      </c>
      <c r="C49" s="232"/>
      <c r="D49" s="232"/>
      <c r="E49" s="232"/>
      <c r="F49" s="232"/>
      <c r="G49" s="232"/>
      <c r="H49" s="232"/>
      <c r="I49" s="909"/>
    </row>
    <row r="50" spans="1:10">
      <c r="A50">
        <v>263</v>
      </c>
      <c r="B50" s="908">
        <v>44166</v>
      </c>
      <c r="C50" s="232"/>
      <c r="D50" s="232"/>
      <c r="F50" s="232"/>
      <c r="G50" s="232"/>
      <c r="H50" s="232"/>
      <c r="I50" s="909"/>
      <c r="J50" s="232">
        <v>5389974.3136365721</v>
      </c>
    </row>
    <row r="51" spans="1:10">
      <c r="A51">
        <v>217</v>
      </c>
      <c r="B51" s="908">
        <v>44166</v>
      </c>
      <c r="C51" s="232"/>
      <c r="D51" s="232"/>
      <c r="E51" s="232"/>
      <c r="F51" s="232"/>
      <c r="G51" s="232"/>
      <c r="H51" s="232"/>
      <c r="I51" s="909"/>
      <c r="J51" s="232"/>
    </row>
    <row r="52" spans="1:10">
      <c r="A52">
        <v>264</v>
      </c>
      <c r="B52" s="908">
        <v>44166</v>
      </c>
      <c r="C52" s="232"/>
      <c r="D52" s="232"/>
      <c r="F52" s="232"/>
      <c r="G52" s="232"/>
      <c r="H52" s="232"/>
      <c r="I52" s="909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A61" zoomScale="90" zoomScaleNormal="90" workbookViewId="0">
      <selection activeCell="B71" sqref="B71:D77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0" t="s">
        <v>12</v>
      </c>
      <c r="C1" s="931"/>
      <c r="D1" s="931"/>
      <c r="E1" s="932" t="s">
        <v>13</v>
      </c>
      <c r="F1" s="933">
        <f ca="1">LnkTXTIRTEco</f>
        <v>-0.10630000000000001</v>
      </c>
    </row>
    <row r="2" spans="2:43" ht="28.5" customHeight="1">
      <c r="B2" s="136" t="str">
        <f>CAPA!C9</f>
        <v>Coopermila</v>
      </c>
      <c r="C2" s="70"/>
      <c r="D2" s="70"/>
      <c r="E2" s="83" t="s">
        <v>14</v>
      </c>
      <c r="F2" s="84">
        <f ca="1">LnkTXTIRTTotal</f>
        <v>-0.2195</v>
      </c>
      <c r="M2" s="85"/>
      <c r="N2" s="86"/>
      <c r="AA2" s="845"/>
      <c r="AB2" s="907"/>
      <c r="AC2" s="845"/>
      <c r="AD2" s="845"/>
    </row>
    <row r="3" spans="2:43" ht="21" customHeight="1">
      <c r="B3" s="934" t="s">
        <v>15</v>
      </c>
      <c r="C3" s="784"/>
      <c r="I3" s="934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5" t="s">
        <v>17</v>
      </c>
      <c r="C5" s="936">
        <v>16176.632</v>
      </c>
      <c r="D5" s="1792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3" t="s">
        <v>27</v>
      </c>
      <c r="T5" s="480" t="s">
        <v>28</v>
      </c>
      <c r="U5" s="71" t="s">
        <v>29</v>
      </c>
      <c r="V5" s="783" t="s">
        <v>30</v>
      </c>
      <c r="AA5" s="68" t="s">
        <v>31</v>
      </c>
      <c r="AB5" s="68" t="s">
        <v>32</v>
      </c>
      <c r="AC5" s="68" t="s">
        <v>20</v>
      </c>
      <c r="AD5" s="845" t="s">
        <v>33</v>
      </c>
      <c r="AE5" s="845" t="s">
        <v>2033</v>
      </c>
      <c r="AI5" s="887" t="s">
        <v>34</v>
      </c>
      <c r="AJ5" s="887" t="s">
        <v>35</v>
      </c>
      <c r="AL5" s="895" t="s">
        <v>36</v>
      </c>
      <c r="AM5" s="895" t="s">
        <v>37</v>
      </c>
      <c r="AO5" s="845" t="s">
        <v>2058</v>
      </c>
      <c r="AP5" s="845" t="s">
        <v>37</v>
      </c>
      <c r="AQ5" s="845" t="s">
        <v>2059</v>
      </c>
    </row>
    <row r="6" spans="2:43" ht="16.5">
      <c r="B6" s="93"/>
      <c r="C6" s="88"/>
      <c r="D6" s="1793"/>
      <c r="E6" s="90"/>
      <c r="F6" s="72"/>
      <c r="G6" s="72"/>
      <c r="H6" s="68" t="str">
        <f>CONCATENATE(W6,J6,L6,O6)</f>
        <v>5697A4Não se aplicaEnergia</v>
      </c>
      <c r="I6" s="937">
        <v>2022</v>
      </c>
      <c r="J6" s="938" t="s">
        <v>533</v>
      </c>
      <c r="K6" s="938" t="s">
        <v>752</v>
      </c>
      <c r="L6" s="938" t="s">
        <v>1239</v>
      </c>
      <c r="M6" s="938" t="s">
        <v>365</v>
      </c>
      <c r="N6" s="938">
        <v>5373</v>
      </c>
      <c r="O6" s="938" t="s">
        <v>108</v>
      </c>
      <c r="P6" s="938" t="s">
        <v>753</v>
      </c>
      <c r="Q6" s="939">
        <v>44795</v>
      </c>
      <c r="R6" s="939">
        <v>44785</v>
      </c>
      <c r="S6" s="508" t="s">
        <v>2340</v>
      </c>
      <c r="T6" s="939" t="s">
        <v>2341</v>
      </c>
      <c r="U6" s="938">
        <v>12.06</v>
      </c>
      <c r="V6" s="938">
        <v>111</v>
      </c>
      <c r="W6" s="68">
        <f>VLOOKUP(V6,DescontosTE[[#All],[idsreag supridora]:[codsariSUP]],2,FALSE)</f>
        <v>5697</v>
      </c>
      <c r="AA6" s="846"/>
      <c r="AB6" s="847"/>
      <c r="AC6" s="846"/>
      <c r="AD6" s="846"/>
      <c r="AE6" s="846"/>
      <c r="AI6" s="893"/>
      <c r="AJ6" s="894"/>
      <c r="AL6" s="896" t="s">
        <v>2374</v>
      </c>
      <c r="AM6" s="897">
        <v>0</v>
      </c>
      <c r="AO6" s="1453" t="s">
        <v>2072</v>
      </c>
      <c r="AP6" s="1454"/>
      <c r="AQ6" s="1454"/>
    </row>
    <row r="7" spans="2:43" ht="16.5">
      <c r="B7" s="940" t="s">
        <v>38</v>
      </c>
      <c r="C7" s="941">
        <v>0</v>
      </c>
      <c r="D7" s="1793"/>
      <c r="E7" s="72"/>
      <c r="F7" s="72"/>
      <c r="G7" s="72"/>
      <c r="H7" s="68" t="str">
        <f t="shared" ref="H7:H30" si="0">CONCATENATE(W7,J7,L7,O7)</f>
        <v>5697A4PontaPotência</v>
      </c>
      <c r="I7" s="506">
        <v>2022</v>
      </c>
      <c r="J7" s="507" t="s">
        <v>533</v>
      </c>
      <c r="K7" s="507" t="s">
        <v>752</v>
      </c>
      <c r="L7" s="507" t="s">
        <v>893</v>
      </c>
      <c r="M7" s="507" t="s">
        <v>365</v>
      </c>
      <c r="N7" s="507">
        <v>5373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2340</v>
      </c>
      <c r="T7" s="508" t="s">
        <v>2341</v>
      </c>
      <c r="U7" s="507">
        <v>24.15</v>
      </c>
      <c r="V7" s="507">
        <v>111</v>
      </c>
      <c r="W7" s="68">
        <f>VLOOKUP(V7,DescontosTE[[#All],[idsreag supridora]:[codsariSUP]],2,FALSE)</f>
        <v>5697</v>
      </c>
      <c r="AA7" s="846"/>
      <c r="AB7" s="847"/>
      <c r="AC7" s="846"/>
      <c r="AD7" s="846"/>
      <c r="AE7" s="846"/>
      <c r="AI7" s="893"/>
      <c r="AJ7" s="894"/>
      <c r="AL7" s="896" t="s">
        <v>2375</v>
      </c>
      <c r="AM7" s="897">
        <v>0</v>
      </c>
      <c r="AO7" s="1453" t="s">
        <v>2073</v>
      </c>
      <c r="AP7" s="1454"/>
      <c r="AQ7" s="1454"/>
    </row>
    <row r="8" spans="2:43" ht="16.5">
      <c r="B8" s="93" t="s">
        <v>39</v>
      </c>
      <c r="C8" s="119">
        <v>0</v>
      </c>
      <c r="D8" s="1793"/>
      <c r="E8" s="72"/>
      <c r="F8" s="72"/>
      <c r="G8" s="72"/>
      <c r="H8" s="68" t="str">
        <f t="shared" si="0"/>
        <v>5697A4Fora pontaPotência</v>
      </c>
      <c r="I8" s="506">
        <v>2022</v>
      </c>
      <c r="J8" s="507" t="s">
        <v>533</v>
      </c>
      <c r="K8" s="507" t="s">
        <v>752</v>
      </c>
      <c r="L8" s="507" t="s">
        <v>2323</v>
      </c>
      <c r="M8" s="507" t="s">
        <v>365</v>
      </c>
      <c r="N8" s="507">
        <v>5373</v>
      </c>
      <c r="O8" s="507" t="s">
        <v>1238</v>
      </c>
      <c r="P8" s="507" t="s">
        <v>753</v>
      </c>
      <c r="Q8" s="508">
        <v>44795</v>
      </c>
      <c r="R8" s="508">
        <v>44785</v>
      </c>
      <c r="S8" s="508" t="s">
        <v>2340</v>
      </c>
      <c r="T8" s="508" t="s">
        <v>2341</v>
      </c>
      <c r="U8" s="507">
        <v>13.88</v>
      </c>
      <c r="V8" s="507">
        <v>111</v>
      </c>
      <c r="W8" s="68">
        <f>VLOOKUP(V8,DescontosTE[[#All],[idsreag supridora]:[codsariSUP]],2,FALSE)</f>
        <v>5697</v>
      </c>
      <c r="AI8" s="893"/>
      <c r="AJ8" s="894"/>
      <c r="AL8" s="896" t="s">
        <v>2376</v>
      </c>
      <c r="AM8" s="897">
        <v>0</v>
      </c>
      <c r="AO8" s="1453" t="s">
        <v>2074</v>
      </c>
      <c r="AP8" s="1454"/>
      <c r="AQ8" s="1454"/>
    </row>
    <row r="9" spans="2:43" ht="16.5">
      <c r="B9" s="93" t="s">
        <v>40</v>
      </c>
      <c r="C9" s="119">
        <v>11680.891981180501</v>
      </c>
      <c r="D9" s="1793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3"/>
      <c r="AJ9" s="894"/>
      <c r="AL9" s="896" t="s">
        <v>2377</v>
      </c>
      <c r="AM9" s="897"/>
      <c r="AO9" s="1453"/>
      <c r="AP9" s="1454" t="s">
        <v>2075</v>
      </c>
      <c r="AQ9" s="1454"/>
    </row>
    <row r="10" spans="2:43" ht="16.5">
      <c r="B10" s="93" t="s">
        <v>41</v>
      </c>
      <c r="C10" s="119">
        <v>902485.07053999999</v>
      </c>
      <c r="D10" s="1793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1" t="s">
        <v>45</v>
      </c>
      <c r="AI10" s="893"/>
      <c r="AJ10" s="894"/>
      <c r="AL10" s="896" t="s">
        <v>2378</v>
      </c>
      <c r="AM10" s="897">
        <v>0</v>
      </c>
    </row>
    <row r="11" spans="2:43" ht="16.5">
      <c r="B11" s="93" t="s">
        <v>46</v>
      </c>
      <c r="C11" s="119">
        <v>0</v>
      </c>
      <c r="D11" s="1793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6">
        <v>0.87029999999999996</v>
      </c>
      <c r="AB11" s="847">
        <v>195.04</v>
      </c>
      <c r="AC11" s="846">
        <v>14739.74</v>
      </c>
      <c r="AD11" s="846"/>
      <c r="AI11" s="893"/>
      <c r="AJ11" s="894"/>
      <c r="AL11" s="896" t="s">
        <v>2379</v>
      </c>
      <c r="AM11" s="897">
        <v>0</v>
      </c>
    </row>
    <row r="12" spans="2:43" ht="16.5">
      <c r="B12" s="93" t="s">
        <v>47</v>
      </c>
      <c r="C12" s="119">
        <v>150736.63787999999</v>
      </c>
      <c r="D12" s="1793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3"/>
      <c r="AJ12" s="894"/>
      <c r="AL12" s="896" t="s">
        <v>2380</v>
      </c>
      <c r="AM12" s="897">
        <v>0</v>
      </c>
    </row>
    <row r="13" spans="2:43" ht="16.5">
      <c r="B13" s="93" t="s">
        <v>48</v>
      </c>
      <c r="C13" s="119">
        <v>0</v>
      </c>
      <c r="D13" s="1793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3"/>
      <c r="AJ13" s="894"/>
      <c r="AL13" s="896" t="s">
        <v>2381</v>
      </c>
      <c r="AM13" s="897">
        <v>0</v>
      </c>
    </row>
    <row r="14" spans="2:43" ht="16.5">
      <c r="B14" s="93" t="s">
        <v>49</v>
      </c>
      <c r="C14" s="119">
        <v>0</v>
      </c>
      <c r="D14" s="1793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6"/>
      <c r="AB14" s="796"/>
      <c r="AC14" s="796"/>
      <c r="AI14" s="893"/>
      <c r="AJ14" s="894"/>
      <c r="AL14" s="896" t="s">
        <v>2382</v>
      </c>
      <c r="AM14" s="897">
        <v>0</v>
      </c>
    </row>
    <row r="15" spans="2:43" ht="16.5">
      <c r="B15" s="942" t="s">
        <v>2034</v>
      </c>
      <c r="C15" s="943">
        <v>0</v>
      </c>
      <c r="D15" s="1793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899" t="s">
        <v>109</v>
      </c>
      <c r="AB15" s="899" t="s">
        <v>898</v>
      </c>
      <c r="AC15" s="796"/>
      <c r="AI15" s="893"/>
      <c r="AJ15" s="894"/>
      <c r="AL15" s="896"/>
      <c r="AM15" s="897"/>
    </row>
    <row r="16" spans="2:43" ht="16.5">
      <c r="D16" s="1793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6">
        <v>2022</v>
      </c>
      <c r="AB16" s="847">
        <v>266.3712037912012</v>
      </c>
      <c r="AC16" s="845"/>
      <c r="AI16" s="893"/>
      <c r="AJ16" s="894"/>
      <c r="AL16" s="896"/>
      <c r="AM16" s="897"/>
    </row>
    <row r="17" spans="2:42" ht="16.5">
      <c r="B17" s="935" t="s">
        <v>50</v>
      </c>
      <c r="C17" s="944"/>
      <c r="D17" s="1793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3"/>
      <c r="AJ17" s="894"/>
      <c r="AL17" s="852"/>
      <c r="AM17" s="847"/>
    </row>
    <row r="18" spans="2:42" ht="16.5">
      <c r="B18" s="93" t="s">
        <v>51</v>
      </c>
      <c r="C18" s="119">
        <v>0</v>
      </c>
      <c r="D18" s="1793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3"/>
      <c r="AJ18" s="894"/>
      <c r="AL18" s="852"/>
      <c r="AM18" s="847"/>
    </row>
    <row r="19" spans="2:42" ht="16.5">
      <c r="B19" s="93" t="s">
        <v>52</v>
      </c>
      <c r="C19" s="119">
        <v>0</v>
      </c>
      <c r="D19" s="1793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3"/>
      <c r="AJ19" s="894"/>
    </row>
    <row r="20" spans="2:42" ht="16.5">
      <c r="B20" s="93" t="s">
        <v>53</v>
      </c>
      <c r="C20" s="119"/>
      <c r="D20" s="1793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48" t="s">
        <v>54</v>
      </c>
      <c r="AB20" s="848"/>
      <c r="AC20" s="849"/>
      <c r="AD20" s="849"/>
      <c r="AE20" s="849"/>
      <c r="AF20" s="849"/>
      <c r="AG20" s="850"/>
      <c r="AI20" s="852"/>
      <c r="AJ20" s="847"/>
    </row>
    <row r="21" spans="2:42" ht="16.5">
      <c r="B21" s="93" t="s">
        <v>55</v>
      </c>
      <c r="C21" s="119"/>
      <c r="D21" s="1793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93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6"/>
      <c r="AB22" s="847"/>
      <c r="AC22" s="846"/>
      <c r="AD22" s="846"/>
      <c r="AE22" s="847"/>
      <c r="AF22" s="852"/>
      <c r="AG22" s="846"/>
    </row>
    <row r="23" spans="2:42" ht="16.5">
      <c r="B23" s="93" t="s">
        <v>64</v>
      </c>
      <c r="C23" s="119"/>
      <c r="D23" s="1793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6"/>
      <c r="AB23" s="847"/>
      <c r="AC23" s="846"/>
      <c r="AD23" s="846"/>
      <c r="AE23" s="847"/>
      <c r="AF23" s="846"/>
      <c r="AG23" s="846"/>
      <c r="AI23" s="845" t="s">
        <v>2062</v>
      </c>
      <c r="AM23" s="845" t="s">
        <v>2066</v>
      </c>
    </row>
    <row r="24" spans="2:42" ht="16.5">
      <c r="B24" s="93" t="s">
        <v>65</v>
      </c>
      <c r="C24" s="119">
        <v>0</v>
      </c>
      <c r="D24" s="1793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2060</v>
      </c>
      <c r="AJ24" s="68" t="s">
        <v>2061</v>
      </c>
      <c r="AK24" s="68" t="s">
        <v>1415</v>
      </c>
      <c r="AM24" s="68" t="s">
        <v>2063</v>
      </c>
      <c r="AN24" s="68" t="s">
        <v>2064</v>
      </c>
      <c r="AO24" s="68" t="s">
        <v>2065</v>
      </c>
      <c r="AP24" s="68" t="s">
        <v>37</v>
      </c>
    </row>
    <row r="25" spans="2:42" ht="16.5">
      <c r="B25" s="93" t="s">
        <v>66</v>
      </c>
      <c r="C25" s="119">
        <v>1611278.94138</v>
      </c>
      <c r="D25" s="1793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5"/>
      <c r="AE25" s="907"/>
      <c r="AF25" s="845"/>
      <c r="AG25" s="845"/>
      <c r="AI25" s="257" t="s">
        <v>2076</v>
      </c>
      <c r="AJ25" s="257" t="s">
        <v>41</v>
      </c>
      <c r="AK25" s="69">
        <v>150667.08265310299</v>
      </c>
      <c r="AM25" s="1457"/>
      <c r="AN25" s="1457"/>
      <c r="AO25" s="1457"/>
      <c r="AP25" s="1456"/>
    </row>
    <row r="26" spans="2:42" ht="16.5">
      <c r="B26" s="935" t="s">
        <v>67</v>
      </c>
      <c r="C26" s="945">
        <v>2625678.5399960899</v>
      </c>
      <c r="D26" s="1793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899" t="s">
        <v>2067</v>
      </c>
      <c r="AB26" s="899" t="s">
        <v>37</v>
      </c>
      <c r="AD26" s="845"/>
      <c r="AE26" s="907"/>
      <c r="AF26" s="845"/>
      <c r="AG26" s="845"/>
      <c r="AI26" s="257" t="s">
        <v>2076</v>
      </c>
      <c r="AJ26" s="257" t="s">
        <v>47</v>
      </c>
      <c r="AK26" s="69">
        <v>21952.246287494199</v>
      </c>
      <c r="AM26" s="1457"/>
      <c r="AN26" s="1457"/>
      <c r="AO26" s="1457"/>
      <c r="AP26" s="1456"/>
    </row>
    <row r="27" spans="2:42" ht="16.5">
      <c r="C27" s="69"/>
      <c r="D27" s="1793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6" t="s">
        <v>2069</v>
      </c>
      <c r="AB27" s="847"/>
      <c r="AI27" s="257" t="s">
        <v>2076</v>
      </c>
      <c r="AJ27" s="257" t="s">
        <v>40</v>
      </c>
      <c r="AK27" s="69">
        <v>1392.39373097975</v>
      </c>
      <c r="AM27" s="1457"/>
      <c r="AN27" s="1457"/>
      <c r="AO27" s="1457"/>
      <c r="AP27" s="1456"/>
    </row>
    <row r="28" spans="2:42" ht="16.5">
      <c r="B28" s="934" t="s">
        <v>68</v>
      </c>
      <c r="C28" s="946"/>
      <c r="D28" s="1793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6" t="s">
        <v>2070</v>
      </c>
      <c r="AB28" s="847"/>
      <c r="AI28" s="257" t="s">
        <v>2077</v>
      </c>
      <c r="AJ28" s="257" t="s">
        <v>2078</v>
      </c>
      <c r="AK28" s="69">
        <v>216658.78328135499</v>
      </c>
      <c r="AM28" s="1457"/>
      <c r="AN28" s="1457"/>
      <c r="AO28" s="1457"/>
      <c r="AP28" s="1456"/>
    </row>
    <row r="29" spans="2:42" ht="18" customHeight="1">
      <c r="D29" s="1793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6"/>
      <c r="AB29" s="847"/>
      <c r="AI29" s="257" t="s">
        <v>2079</v>
      </c>
      <c r="AJ29" s="257" t="s">
        <v>2080</v>
      </c>
      <c r="AK29" s="69">
        <v>-12417.399806742207</v>
      </c>
      <c r="AM29" s="1457"/>
      <c r="AN29" s="1457"/>
      <c r="AO29" s="1457"/>
      <c r="AP29" s="1456"/>
    </row>
    <row r="30" spans="2:42" ht="16.5">
      <c r="B30" s="947"/>
      <c r="C30" s="948"/>
      <c r="D30" s="1793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6"/>
      <c r="AB30" s="847"/>
      <c r="AI30" s="257" t="s">
        <v>104</v>
      </c>
      <c r="AJ30" s="257"/>
      <c r="AK30" s="69">
        <v>-1357439.1316493</v>
      </c>
      <c r="AM30" s="1457"/>
      <c r="AN30" s="1457"/>
      <c r="AO30" s="1457"/>
      <c r="AP30" s="1456"/>
    </row>
    <row r="31" spans="2:42">
      <c r="B31" s="654" t="s">
        <v>69</v>
      </c>
      <c r="C31" s="655">
        <v>5.1311812530391798E-2</v>
      </c>
      <c r="D31" s="1794"/>
      <c r="AI31" s="257"/>
      <c r="AJ31" s="257"/>
      <c r="AK31" s="69"/>
      <c r="AM31" s="1457"/>
      <c r="AN31" s="1457"/>
      <c r="AO31" s="1457"/>
      <c r="AP31" s="1456"/>
    </row>
    <row r="32" spans="2:42">
      <c r="B32" s="949" t="s">
        <v>70</v>
      </c>
      <c r="C32" s="950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4"/>
      <c r="C34" s="946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7" t="s">
        <v>41</v>
      </c>
      <c r="C35" s="951">
        <v>1011977.0763000001</v>
      </c>
      <c r="AA35" s="196"/>
      <c r="AB35" s="1569"/>
      <c r="AC35" s="1569"/>
      <c r="AD35" s="1569"/>
      <c r="AI35" s="257"/>
      <c r="AJ35" s="257"/>
      <c r="AK35" s="69"/>
    </row>
    <row r="36" spans="1:37">
      <c r="B36" s="654" t="s">
        <v>47</v>
      </c>
      <c r="C36" s="87">
        <v>141055.25107999999</v>
      </c>
      <c r="AA36" s="196"/>
      <c r="AB36" s="1569"/>
      <c r="AC36" s="1569"/>
      <c r="AD36" s="1569"/>
      <c r="AI36" s="257"/>
      <c r="AJ36" s="257"/>
      <c r="AK36" s="69"/>
    </row>
    <row r="37" spans="1:37">
      <c r="B37" s="949" t="s">
        <v>40</v>
      </c>
      <c r="C37" s="952">
        <v>10966.148723077707</v>
      </c>
      <c r="AA37" s="196"/>
      <c r="AB37" s="1569"/>
      <c r="AC37" s="1569"/>
      <c r="AD37" s="1569"/>
      <c r="AI37" s="257"/>
      <c r="AJ37" s="257"/>
      <c r="AK37" s="69"/>
    </row>
    <row r="38" spans="1:37">
      <c r="AA38" s="196"/>
      <c r="AB38" s="1569"/>
      <c r="AC38" s="1569"/>
      <c r="AD38" s="1569"/>
      <c r="AI38" s="257"/>
      <c r="AJ38" s="257"/>
      <c r="AK38" s="69"/>
    </row>
    <row r="39" spans="1:37">
      <c r="D39" s="89"/>
      <c r="AA39" s="196"/>
      <c r="AB39" s="1569"/>
      <c r="AC39" s="1569"/>
      <c r="AD39" s="1569"/>
      <c r="AI39" s="257"/>
      <c r="AJ39" s="257"/>
      <c r="AK39" s="69"/>
    </row>
    <row r="40" spans="1:37" ht="16.5">
      <c r="B40" s="949"/>
      <c r="C40" s="72"/>
      <c r="D40" s="9"/>
      <c r="E40" s="9" t="s">
        <v>74</v>
      </c>
      <c r="F40" s="9"/>
      <c r="AA40" s="196"/>
      <c r="AB40" s="1569"/>
      <c r="AC40" s="1569"/>
      <c r="AD40" s="1569"/>
      <c r="AI40" s="257"/>
      <c r="AJ40" s="257"/>
      <c r="AK40" s="69"/>
    </row>
    <row r="41" spans="1:37" ht="16.5">
      <c r="A41" s="953">
        <f>DATE(YEAR(B41),MONTH(B41),1)</f>
        <v>44470</v>
      </c>
      <c r="B41" s="939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69"/>
      <c r="AC41" s="1569"/>
      <c r="AD41" s="1569"/>
      <c r="AI41" s="257"/>
      <c r="AJ41" s="257"/>
      <c r="AK41" s="69"/>
    </row>
    <row r="42" spans="1:37" ht="16.5">
      <c r="A42" s="953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3" t="s">
        <v>20</v>
      </c>
      <c r="J42" s="783" t="s">
        <v>21</v>
      </c>
      <c r="K42" s="783"/>
      <c r="L42" s="783" t="s">
        <v>22</v>
      </c>
      <c r="M42" s="783" t="s">
        <v>23</v>
      </c>
      <c r="N42" s="783" t="s">
        <v>24</v>
      </c>
      <c r="O42" s="783" t="s">
        <v>25</v>
      </c>
      <c r="P42" s="783" t="s">
        <v>26</v>
      </c>
      <c r="Q42" s="783" t="s">
        <v>27</v>
      </c>
      <c r="R42" s="783" t="s">
        <v>28</v>
      </c>
      <c r="S42" s="784" t="s">
        <v>29</v>
      </c>
      <c r="T42" s="783" t="s">
        <v>30</v>
      </c>
      <c r="AA42" s="196"/>
      <c r="AB42" s="1569"/>
      <c r="AC42" s="1569"/>
      <c r="AD42" s="1569"/>
      <c r="AI42" s="257"/>
      <c r="AJ42" s="257"/>
      <c r="AK42" s="69"/>
    </row>
    <row r="43" spans="1:37" ht="16.5">
      <c r="A43" s="953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6">
        <v>2022</v>
      </c>
      <c r="J43" s="507" t="s">
        <v>533</v>
      </c>
      <c r="K43" s="507" t="s">
        <v>2324</v>
      </c>
      <c r="L43" s="507" t="s">
        <v>1239</v>
      </c>
      <c r="M43" s="507" t="s">
        <v>365</v>
      </c>
      <c r="N43" s="507">
        <v>5373</v>
      </c>
      <c r="O43" s="508">
        <v>44795</v>
      </c>
      <c r="P43" s="508">
        <v>44785</v>
      </c>
      <c r="Q43" s="508" t="s">
        <v>2340</v>
      </c>
      <c r="R43" s="508" t="s">
        <v>2341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69"/>
      <c r="AC43" s="1569"/>
      <c r="AD43" s="1569"/>
      <c r="AI43" s="257"/>
      <c r="AJ43" s="257"/>
      <c r="AK43" s="69"/>
    </row>
    <row r="44" spans="1:37" ht="16.5">
      <c r="A44" s="953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69"/>
      <c r="AC44" s="1569"/>
      <c r="AD44" s="1569"/>
      <c r="AI44" s="257"/>
      <c r="AJ44" s="257"/>
      <c r="AK44" s="69"/>
    </row>
    <row r="45" spans="1:37" ht="16.5">
      <c r="A45" s="953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3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3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3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3">
        <f t="shared" si="1"/>
        <v>44713</v>
      </c>
      <c r="B49" s="508">
        <v>44718</v>
      </c>
      <c r="C49" s="532">
        <v>92569.592799999999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3">
        <f t="shared" si="1"/>
        <v>44743</v>
      </c>
      <c r="B50" s="508">
        <v>44749</v>
      </c>
      <c r="C50" s="532">
        <v>12.2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3">
        <f t="shared" si="1"/>
        <v>44774</v>
      </c>
      <c r="B51" s="508">
        <v>44781</v>
      </c>
      <c r="C51" s="532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3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0"/>
    </row>
    <row r="53" spans="1:28" ht="16.5">
      <c r="A53" s="953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95581.921079605236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0"/>
    </row>
    <row r="54" spans="1:28" ht="16.5">
      <c r="A54" s="953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12.470389180924796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0"/>
    </row>
    <row r="55" spans="1:28" ht="16.5">
      <c r="A55" s="953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0"/>
    </row>
    <row r="56" spans="1:28" ht="16.5">
      <c r="A56" s="953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0"/>
    </row>
    <row r="57" spans="1:28" ht="16.5">
      <c r="A57" s="953">
        <f t="shared" si="1"/>
        <v>1</v>
      </c>
      <c r="B57" s="954"/>
      <c r="C57" s="818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0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0"/>
    </row>
    <row r="59" spans="1:28" ht="16.5">
      <c r="H59" s="68" t="e">
        <f t="shared" si="2"/>
        <v>#N/A</v>
      </c>
      <c r="I59" s="955"/>
      <c r="J59" s="956"/>
      <c r="K59" s="956"/>
      <c r="L59" s="956"/>
      <c r="M59" s="956"/>
      <c r="N59" s="956"/>
      <c r="O59" s="956"/>
      <c r="P59" s="956"/>
      <c r="Q59" s="954"/>
      <c r="R59" s="954"/>
      <c r="S59" s="954"/>
      <c r="T59" s="956"/>
      <c r="U59" s="68" t="e">
        <f>VLOOKUP(T59,DescontosTE[[#All],[idsreag supridora]:[codsariSUP]],2,FALSE)</f>
        <v>#N/A</v>
      </c>
      <c r="AA59" s="196"/>
      <c r="AB59" s="1570"/>
    </row>
    <row r="60" spans="1:28">
      <c r="B60" s="949" t="s">
        <v>75</v>
      </c>
      <c r="C60" s="72"/>
      <c r="AA60" s="196"/>
      <c r="AB60" s="1570"/>
    </row>
    <row r="61" spans="1:28" ht="16.5">
      <c r="B61" s="957" t="s">
        <v>697</v>
      </c>
      <c r="C61" s="819">
        <v>0</v>
      </c>
      <c r="D61" s="68">
        <v>0</v>
      </c>
      <c r="AA61" s="196"/>
      <c r="AB61" s="1570"/>
    </row>
    <row r="62" spans="1:28" ht="16.5">
      <c r="B62" s="691" t="s">
        <v>699</v>
      </c>
      <c r="C62" s="532">
        <v>0</v>
      </c>
      <c r="D62" s="69">
        <v>0</v>
      </c>
      <c r="AA62" s="196"/>
      <c r="AB62" s="1570"/>
    </row>
    <row r="63" spans="1:28" ht="16.5">
      <c r="B63" s="691" t="s">
        <v>701</v>
      </c>
      <c r="C63" s="532">
        <v>0</v>
      </c>
      <c r="D63" s="69">
        <v>0</v>
      </c>
      <c r="AA63" s="196"/>
      <c r="AB63" s="1570"/>
    </row>
    <row r="64" spans="1:28" ht="16.5">
      <c r="B64" s="691" t="s">
        <v>702</v>
      </c>
      <c r="C64" s="532">
        <v>25.99</v>
      </c>
      <c r="D64" s="69">
        <v>0</v>
      </c>
      <c r="I64" s="68" t="s">
        <v>2178</v>
      </c>
    </row>
    <row r="65" spans="2:16" ht="16.5">
      <c r="B65" s="691" t="s">
        <v>705</v>
      </c>
      <c r="C65" s="532">
        <v>37087.72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58" t="s">
        <v>707</v>
      </c>
      <c r="C66" s="818">
        <v>8.42</v>
      </c>
      <c r="D66" s="69">
        <v>0</v>
      </c>
      <c r="I66" s="68" t="s">
        <v>2370</v>
      </c>
      <c r="J66" s="68">
        <v>5697</v>
      </c>
      <c r="K66" s="1568">
        <v>44469</v>
      </c>
      <c r="L66" s="68" t="s">
        <v>2036</v>
      </c>
      <c r="M66" s="68">
        <v>3.3399999999999999E-2</v>
      </c>
    </row>
    <row r="67" spans="2:16">
      <c r="K67" s="1568"/>
    </row>
    <row r="68" spans="2:16">
      <c r="K68" s="1568"/>
    </row>
    <row r="69" spans="2:16">
      <c r="K69" s="1568"/>
    </row>
    <row r="70" spans="2:16">
      <c r="B70" s="899" t="s">
        <v>72</v>
      </c>
      <c r="C70" s="899" t="s">
        <v>37</v>
      </c>
      <c r="D70" s="899" t="s">
        <v>73</v>
      </c>
      <c r="K70" s="1568"/>
    </row>
    <row r="71" spans="2:16">
      <c r="B71" s="846" t="s">
        <v>49</v>
      </c>
      <c r="C71" s="1455"/>
      <c r="D71" s="847"/>
      <c r="K71" s="1568"/>
    </row>
    <row r="72" spans="2:16">
      <c r="B72" s="846" t="s">
        <v>768</v>
      </c>
      <c r="C72" s="1455"/>
      <c r="D72" s="847"/>
      <c r="K72" s="1568"/>
    </row>
    <row r="73" spans="2:16">
      <c r="B73" s="846" t="s">
        <v>2318</v>
      </c>
      <c r="C73" s="1455"/>
      <c r="D73" s="847"/>
      <c r="K73" s="1568"/>
    </row>
    <row r="74" spans="2:16">
      <c r="B74" s="846" t="s">
        <v>2071</v>
      </c>
      <c r="C74" s="1455"/>
      <c r="D74" s="847"/>
      <c r="K74" s="1568"/>
    </row>
    <row r="75" spans="2:16">
      <c r="B75" s="846" t="s">
        <v>2319</v>
      </c>
      <c r="C75" s="1455"/>
      <c r="D75" s="847"/>
      <c r="K75" s="1568"/>
    </row>
    <row r="76" spans="2:16">
      <c r="B76" s="846" t="s">
        <v>2320</v>
      </c>
      <c r="C76" s="1455">
        <v>0</v>
      </c>
      <c r="D76" s="847"/>
    </row>
    <row r="77" spans="2:16">
      <c r="B77" s="846" t="s">
        <v>2321</v>
      </c>
      <c r="C77" s="1455">
        <v>0</v>
      </c>
      <c r="D77" s="847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2370</v>
      </c>
      <c r="J80" s="68">
        <v>5697</v>
      </c>
      <c r="K80" s="1568">
        <v>44469</v>
      </c>
      <c r="L80" s="68" t="s">
        <v>2036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2370</v>
      </c>
      <c r="J81" s="68">
        <v>5697</v>
      </c>
      <c r="K81" s="1568">
        <v>44469</v>
      </c>
      <c r="L81" s="68" t="s">
        <v>2036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899" t="s">
        <v>695</v>
      </c>
      <c r="C82" s="899" t="s">
        <v>2172</v>
      </c>
      <c r="D82" s="899" t="s">
        <v>37</v>
      </c>
      <c r="I82" s="68" t="s">
        <v>2370</v>
      </c>
      <c r="J82" s="68">
        <v>5697</v>
      </c>
      <c r="K82" s="1568">
        <v>44469</v>
      </c>
      <c r="L82" s="68" t="s">
        <v>2036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6" t="s">
        <v>1436</v>
      </c>
      <c r="C83" s="1455" t="s">
        <v>2371</v>
      </c>
      <c r="D83" s="847">
        <v>296.10742278035502</v>
      </c>
      <c r="I83" s="68" t="s">
        <v>2370</v>
      </c>
      <c r="J83" s="68">
        <v>5697</v>
      </c>
      <c r="K83" s="1568">
        <v>44469</v>
      </c>
      <c r="L83" s="68" t="s">
        <v>2036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6" t="s">
        <v>2372</v>
      </c>
      <c r="C84" s="1455" t="s">
        <v>2373</v>
      </c>
      <c r="D84" s="847">
        <v>0</v>
      </c>
      <c r="K84" s="1568"/>
    </row>
    <row r="85" spans="2:16">
      <c r="B85" s="846" t="s">
        <v>1429</v>
      </c>
      <c r="C85" s="1455" t="s">
        <v>2373</v>
      </c>
      <c r="D85" s="847">
        <v>0</v>
      </c>
      <c r="K85" s="1568"/>
    </row>
    <row r="86" spans="2:16">
      <c r="B86" s="846" t="s">
        <v>1428</v>
      </c>
      <c r="C86" s="1455" t="s">
        <v>2373</v>
      </c>
      <c r="D86" s="847">
        <v>5.1311812530391798E-2</v>
      </c>
      <c r="K86" s="1568"/>
    </row>
    <row r="87" spans="2:16">
      <c r="K87" s="1568"/>
    </row>
    <row r="88" spans="2:16">
      <c r="K88" s="1568"/>
    </row>
    <row r="89" spans="2:16">
      <c r="K89" s="1568"/>
    </row>
    <row r="90" spans="2:16">
      <c r="K90" s="1568"/>
    </row>
    <row r="91" spans="2:16">
      <c r="K91" s="1568"/>
    </row>
    <row r="92" spans="2:16">
      <c r="K92" s="1568"/>
    </row>
    <row r="93" spans="2:16">
      <c r="K93" s="1568"/>
    </row>
    <row r="94" spans="2:16">
      <c r="K94" s="1568"/>
    </row>
    <row r="95" spans="2:16">
      <c r="K95" s="1568"/>
    </row>
    <row r="96" spans="2:16">
      <c r="K96" s="1568"/>
    </row>
    <row r="97" spans="2:11">
      <c r="K97" s="1568"/>
    </row>
    <row r="98" spans="2:11">
      <c r="K98" s="1568"/>
    </row>
    <row r="103" spans="2:11" ht="25.5" customHeight="1">
      <c r="B103" s="68" t="s">
        <v>2188</v>
      </c>
      <c r="C103" s="1571" t="s">
        <v>2190</v>
      </c>
      <c r="D103" s="68" t="s">
        <v>2189</v>
      </c>
    </row>
    <row r="104" spans="2:11">
      <c r="B104" s="69">
        <v>2738505.6826723199</v>
      </c>
      <c r="C104" s="196">
        <v>44531</v>
      </c>
      <c r="D104" s="68" t="s">
        <v>2322</v>
      </c>
    </row>
    <row r="108" spans="2:11" ht="28.5">
      <c r="B108" s="1571" t="s">
        <v>2186</v>
      </c>
      <c r="C108" s="1571" t="s">
        <v>2187</v>
      </c>
      <c r="D108" s="1571" t="s">
        <v>213</v>
      </c>
      <c r="E108" s="1571" t="s">
        <v>214</v>
      </c>
      <c r="F108" s="1571" t="s">
        <v>2191</v>
      </c>
      <c r="G108" s="1571" t="s">
        <v>2192</v>
      </c>
      <c r="H108" s="1571" t="s">
        <v>2193</v>
      </c>
    </row>
    <row r="109" spans="2:11">
      <c r="B109" s="1571" t="s">
        <v>155</v>
      </c>
      <c r="C109" s="1571">
        <v>111</v>
      </c>
      <c r="D109" s="1571">
        <v>63.276120153090822</v>
      </c>
      <c r="E109" s="1571">
        <v>180.36</v>
      </c>
      <c r="F109" s="1572">
        <v>1357439.1316492993</v>
      </c>
      <c r="G109" s="1573">
        <v>44430</v>
      </c>
      <c r="H109" s="1573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zoomScale="66" zoomScaleNormal="66" workbookViewId="0">
      <selection activeCell="C16" sqref="C16"/>
    </sheetView>
  </sheetViews>
  <sheetFormatPr defaultRowHeight="15.75"/>
  <cols>
    <col min="1" max="1" width="12.85546875" customWidth="1"/>
    <col min="2" max="2" width="19" customWidth="1"/>
    <col min="3" max="3" width="124.28515625" customWidth="1"/>
    <col min="4" max="4" width="20.85546875" customWidth="1"/>
    <col min="5" max="5" width="26.140625" bestFit="1" customWidth="1"/>
    <col min="6" max="6" width="37.7109375" customWidth="1"/>
    <col min="7" max="7" width="12.28515625" customWidth="1"/>
    <col min="8" max="8" width="12.42578125" customWidth="1"/>
    <col min="9" max="9" width="16" style="8" bestFit="1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 hidden="1">
      <c r="A2" t="s">
        <v>2400</v>
      </c>
      <c r="B2">
        <v>5373</v>
      </c>
      <c r="C2" t="s">
        <v>2344</v>
      </c>
      <c r="D2">
        <v>5697</v>
      </c>
      <c r="E2" t="s">
        <v>2342</v>
      </c>
      <c r="F2" t="s">
        <v>2036</v>
      </c>
      <c r="G2">
        <v>2021</v>
      </c>
      <c r="H2">
        <v>9</v>
      </c>
      <c r="I2" s="8">
        <v>44440</v>
      </c>
      <c r="J2">
        <v>1850</v>
      </c>
      <c r="K2">
        <v>1650</v>
      </c>
      <c r="L2">
        <v>410155</v>
      </c>
      <c r="M2">
        <v>57207</v>
      </c>
      <c r="N2">
        <v>410155</v>
      </c>
      <c r="O2">
        <v>57207</v>
      </c>
      <c r="P2">
        <v>0</v>
      </c>
      <c r="Q2">
        <v>12.33</v>
      </c>
      <c r="R2">
        <v>23.94</v>
      </c>
      <c r="S2">
        <v>10.17</v>
      </c>
      <c r="T2">
        <v>264.43</v>
      </c>
      <c r="U2">
        <v>5142.3900000000003</v>
      </c>
      <c r="V2">
        <v>0</v>
      </c>
      <c r="W2">
        <v>0</v>
      </c>
      <c r="X2">
        <v>196274.85</v>
      </c>
      <c r="AA2" s="232">
        <f>J2*Q2+K2*R2+((L2+M2)/1000)*S2</f>
        <v>67064.571540000004</v>
      </c>
      <c r="AB2" s="232">
        <f>((N2+O2)/1000)*T2</f>
        <v>123584.53366000002</v>
      </c>
    </row>
    <row r="3" spans="1:28" hidden="1">
      <c r="A3" t="s">
        <v>2401</v>
      </c>
      <c r="B3">
        <v>5373</v>
      </c>
      <c r="C3" t="s">
        <v>2344</v>
      </c>
      <c r="D3">
        <v>5697</v>
      </c>
      <c r="E3" t="s">
        <v>2342</v>
      </c>
      <c r="F3" t="s">
        <v>2036</v>
      </c>
      <c r="G3">
        <v>2021</v>
      </c>
      <c r="H3">
        <v>9</v>
      </c>
      <c r="I3" s="8">
        <v>44440</v>
      </c>
      <c r="J3">
        <v>2650</v>
      </c>
      <c r="K3">
        <v>1850</v>
      </c>
      <c r="L3">
        <v>946407</v>
      </c>
      <c r="M3">
        <v>83977</v>
      </c>
      <c r="N3">
        <v>912468</v>
      </c>
      <c r="O3">
        <v>83977</v>
      </c>
      <c r="P3">
        <v>33939</v>
      </c>
      <c r="Q3">
        <v>12.33</v>
      </c>
      <c r="R3">
        <v>23.94</v>
      </c>
      <c r="S3">
        <v>10.17</v>
      </c>
      <c r="T3">
        <v>264.43</v>
      </c>
      <c r="U3">
        <v>9474.32</v>
      </c>
      <c r="V3">
        <v>0</v>
      </c>
      <c r="W3">
        <v>0</v>
      </c>
      <c r="X3">
        <v>361614.88</v>
      </c>
      <c r="AA3" s="232">
        <f t="shared" ref="AA3:AA66" si="0">J3*Q3+K3*R3+((L3+M3)/1000)*S3</f>
        <v>87442.505279999998</v>
      </c>
      <c r="AB3" s="232">
        <f t="shared" ref="AB3:AB66" si="1">((N3+O3)/1000)*T3</f>
        <v>263489.95135000005</v>
      </c>
    </row>
    <row r="4" spans="1:28" hidden="1">
      <c r="A4" t="s">
        <v>2345</v>
      </c>
      <c r="B4">
        <v>5373</v>
      </c>
      <c r="C4" t="s">
        <v>2344</v>
      </c>
      <c r="D4">
        <v>5697</v>
      </c>
      <c r="E4" t="s">
        <v>2342</v>
      </c>
      <c r="F4" t="s">
        <v>2036</v>
      </c>
      <c r="G4">
        <v>2021</v>
      </c>
      <c r="H4">
        <v>10</v>
      </c>
      <c r="I4" s="8">
        <v>44470</v>
      </c>
      <c r="J4">
        <v>1850</v>
      </c>
      <c r="K4">
        <v>1650</v>
      </c>
      <c r="L4">
        <v>457752</v>
      </c>
      <c r="M4">
        <v>57921</v>
      </c>
      <c r="N4">
        <v>457752</v>
      </c>
      <c r="O4">
        <v>57921</v>
      </c>
      <c r="P4">
        <v>0</v>
      </c>
      <c r="Q4">
        <v>11.83</v>
      </c>
      <c r="R4">
        <v>21.22</v>
      </c>
      <c r="S4">
        <v>14.37</v>
      </c>
      <c r="T4">
        <v>302.83999999999997</v>
      </c>
      <c r="U4">
        <v>8114.95</v>
      </c>
      <c r="V4">
        <v>0</v>
      </c>
      <c r="W4">
        <v>0</v>
      </c>
      <c r="X4">
        <v>228590.06</v>
      </c>
      <c r="AA4" s="232">
        <f t="shared" si="0"/>
        <v>64308.721010000001</v>
      </c>
      <c r="AB4" s="232">
        <f t="shared" si="1"/>
        <v>156166.41131999998</v>
      </c>
    </row>
    <row r="5" spans="1:28" hidden="1">
      <c r="A5" t="s">
        <v>2346</v>
      </c>
      <c r="B5">
        <v>5373</v>
      </c>
      <c r="C5" t="s">
        <v>2344</v>
      </c>
      <c r="D5">
        <v>5697</v>
      </c>
      <c r="E5" t="s">
        <v>2342</v>
      </c>
      <c r="F5" t="s">
        <v>2036</v>
      </c>
      <c r="G5">
        <v>2021</v>
      </c>
      <c r="H5">
        <v>10</v>
      </c>
      <c r="I5" s="8">
        <v>44470</v>
      </c>
      <c r="J5">
        <v>2650</v>
      </c>
      <c r="K5">
        <v>1850</v>
      </c>
      <c r="L5">
        <v>958913</v>
      </c>
      <c r="M5">
        <v>81524</v>
      </c>
      <c r="N5">
        <v>922776</v>
      </c>
      <c r="O5">
        <v>81524</v>
      </c>
      <c r="P5">
        <v>36137</v>
      </c>
      <c r="Q5">
        <v>11.83</v>
      </c>
      <c r="R5">
        <v>21.22</v>
      </c>
      <c r="S5">
        <v>14.37</v>
      </c>
      <c r="T5">
        <v>302.83999999999997</v>
      </c>
      <c r="U5">
        <v>14343.54</v>
      </c>
      <c r="V5">
        <v>0</v>
      </c>
      <c r="W5">
        <v>0</v>
      </c>
      <c r="X5">
        <v>404043.3</v>
      </c>
      <c r="AA5" s="232">
        <f t="shared" si="0"/>
        <v>85557.579689999999</v>
      </c>
      <c r="AB5" s="232">
        <f t="shared" si="1"/>
        <v>304142.21199999994</v>
      </c>
    </row>
    <row r="6" spans="1:28" hidden="1">
      <c r="A6" t="s">
        <v>2347</v>
      </c>
      <c r="B6">
        <v>5373</v>
      </c>
      <c r="C6" t="s">
        <v>2344</v>
      </c>
      <c r="D6">
        <v>5697</v>
      </c>
      <c r="E6" t="s">
        <v>2342</v>
      </c>
      <c r="F6" t="s">
        <v>2036</v>
      </c>
      <c r="G6">
        <v>2021</v>
      </c>
      <c r="H6">
        <v>11</v>
      </c>
      <c r="I6" s="8">
        <v>44501</v>
      </c>
      <c r="J6">
        <v>1850</v>
      </c>
      <c r="K6">
        <v>1650</v>
      </c>
      <c r="L6">
        <v>480774</v>
      </c>
      <c r="M6">
        <v>62179</v>
      </c>
      <c r="N6">
        <v>480774</v>
      </c>
      <c r="O6">
        <v>62179</v>
      </c>
      <c r="P6">
        <v>0</v>
      </c>
      <c r="Q6">
        <v>11.83</v>
      </c>
      <c r="R6">
        <v>21.22</v>
      </c>
      <c r="S6">
        <v>14.37</v>
      </c>
      <c r="T6">
        <v>302.83999999999997</v>
      </c>
      <c r="U6">
        <v>8902.36</v>
      </c>
      <c r="V6">
        <v>0</v>
      </c>
      <c r="W6">
        <v>0</v>
      </c>
      <c r="X6">
        <v>238030.96</v>
      </c>
      <c r="AA6" s="232">
        <f t="shared" si="0"/>
        <v>64700.73461</v>
      </c>
      <c r="AB6" s="232">
        <f t="shared" si="1"/>
        <v>164427.88651999997</v>
      </c>
    </row>
    <row r="7" spans="1:28" hidden="1">
      <c r="A7" t="s">
        <v>2348</v>
      </c>
      <c r="B7">
        <v>5373</v>
      </c>
      <c r="C7" t="s">
        <v>2344</v>
      </c>
      <c r="D7">
        <v>5697</v>
      </c>
      <c r="E7" t="s">
        <v>2342</v>
      </c>
      <c r="F7" t="s">
        <v>2036</v>
      </c>
      <c r="G7">
        <v>2021</v>
      </c>
      <c r="H7">
        <v>11</v>
      </c>
      <c r="I7" s="8">
        <v>44501</v>
      </c>
      <c r="J7">
        <v>2650</v>
      </c>
      <c r="K7">
        <v>1888.32</v>
      </c>
      <c r="L7">
        <v>990698</v>
      </c>
      <c r="M7">
        <v>85771</v>
      </c>
      <c r="N7">
        <v>954619</v>
      </c>
      <c r="O7">
        <v>85771</v>
      </c>
      <c r="P7">
        <v>36079</v>
      </c>
      <c r="Q7">
        <v>11.83</v>
      </c>
      <c r="R7">
        <v>21.22</v>
      </c>
      <c r="S7">
        <v>14.37</v>
      </c>
      <c r="T7">
        <v>302.83999999999997</v>
      </c>
      <c r="U7">
        <v>15617.4</v>
      </c>
      <c r="V7">
        <v>0</v>
      </c>
      <c r="W7">
        <v>0</v>
      </c>
      <c r="X7">
        <v>417577.59</v>
      </c>
      <c r="AA7" s="232">
        <f t="shared" si="0"/>
        <v>86888.50993</v>
      </c>
      <c r="AB7" s="232">
        <f t="shared" si="1"/>
        <v>315071.70760000002</v>
      </c>
    </row>
    <row r="8" spans="1:28" hidden="1">
      <c r="A8" t="s">
        <v>2349</v>
      </c>
      <c r="B8">
        <v>5373</v>
      </c>
      <c r="C8" t="s">
        <v>2344</v>
      </c>
      <c r="D8">
        <v>5697</v>
      </c>
      <c r="E8" t="s">
        <v>2342</v>
      </c>
      <c r="F8" t="s">
        <v>2036</v>
      </c>
      <c r="G8">
        <v>2021</v>
      </c>
      <c r="H8">
        <v>12</v>
      </c>
      <c r="I8" s="8">
        <v>44531</v>
      </c>
      <c r="J8">
        <v>2650</v>
      </c>
      <c r="K8">
        <v>1866.48</v>
      </c>
      <c r="L8">
        <v>973865</v>
      </c>
      <c r="M8">
        <v>98066</v>
      </c>
      <c r="N8">
        <v>940967</v>
      </c>
      <c r="O8">
        <v>98066</v>
      </c>
      <c r="P8">
        <v>32898</v>
      </c>
      <c r="Q8">
        <v>11.83</v>
      </c>
      <c r="R8">
        <v>21.22</v>
      </c>
      <c r="S8">
        <v>14.37</v>
      </c>
      <c r="T8">
        <v>302.83999999999997</v>
      </c>
      <c r="U8">
        <v>15580.9</v>
      </c>
      <c r="V8">
        <v>0</v>
      </c>
      <c r="W8">
        <v>0</v>
      </c>
      <c r="X8">
        <v>416601.48</v>
      </c>
      <c r="AA8" s="232">
        <f t="shared" si="0"/>
        <v>86359.854070000001</v>
      </c>
      <c r="AB8" s="232">
        <f t="shared" si="1"/>
        <v>314660.75371999992</v>
      </c>
    </row>
    <row r="9" spans="1:28" hidden="1">
      <c r="A9" t="s">
        <v>2350</v>
      </c>
      <c r="B9">
        <v>5373</v>
      </c>
      <c r="C9" t="s">
        <v>2344</v>
      </c>
      <c r="D9">
        <v>5697</v>
      </c>
      <c r="E9" t="s">
        <v>2342</v>
      </c>
      <c r="F9" t="s">
        <v>2036</v>
      </c>
      <c r="G9">
        <v>2021</v>
      </c>
      <c r="H9">
        <v>12</v>
      </c>
      <c r="I9" s="8">
        <v>44531</v>
      </c>
      <c r="J9">
        <v>1850</v>
      </c>
      <c r="K9">
        <v>1650</v>
      </c>
      <c r="L9">
        <v>479401</v>
      </c>
      <c r="M9">
        <v>68357</v>
      </c>
      <c r="N9">
        <v>479401</v>
      </c>
      <c r="O9">
        <v>68357</v>
      </c>
      <c r="P9">
        <v>0</v>
      </c>
      <c r="Q9">
        <v>11.83</v>
      </c>
      <c r="R9">
        <v>21.22</v>
      </c>
      <c r="S9">
        <v>14.37</v>
      </c>
      <c r="T9">
        <v>302.83999999999997</v>
      </c>
      <c r="U9">
        <v>8961.58</v>
      </c>
      <c r="V9">
        <v>0</v>
      </c>
      <c r="W9">
        <v>0</v>
      </c>
      <c r="X9">
        <v>239614.38</v>
      </c>
      <c r="AA9" s="232">
        <f t="shared" si="0"/>
        <v>64769.782460000002</v>
      </c>
      <c r="AB9" s="232">
        <f t="shared" si="1"/>
        <v>165883.03271999999</v>
      </c>
    </row>
    <row r="10" spans="1:28">
      <c r="A10" t="s">
        <v>2351</v>
      </c>
      <c r="B10">
        <v>5373</v>
      </c>
      <c r="C10" t="s">
        <v>2344</v>
      </c>
      <c r="D10">
        <v>5697</v>
      </c>
      <c r="E10" t="s">
        <v>2342</v>
      </c>
      <c r="F10" t="s">
        <v>2036</v>
      </c>
      <c r="G10">
        <v>2022</v>
      </c>
      <c r="H10">
        <v>1</v>
      </c>
      <c r="I10" s="8">
        <v>44562</v>
      </c>
      <c r="J10">
        <v>2800</v>
      </c>
      <c r="K10">
        <v>2234.4</v>
      </c>
      <c r="L10">
        <v>1027851</v>
      </c>
      <c r="M10">
        <v>96393</v>
      </c>
      <c r="N10">
        <v>1007061</v>
      </c>
      <c r="O10">
        <v>96393</v>
      </c>
      <c r="P10">
        <v>20790</v>
      </c>
      <c r="Q10">
        <v>11.83</v>
      </c>
      <c r="R10">
        <v>21.22</v>
      </c>
      <c r="S10">
        <v>14.37</v>
      </c>
      <c r="T10">
        <v>302.83999999999997</v>
      </c>
      <c r="U10">
        <v>21885.56</v>
      </c>
      <c r="V10">
        <v>0</v>
      </c>
      <c r="W10">
        <v>-28966.44</v>
      </c>
      <c r="X10">
        <v>433730.38</v>
      </c>
      <c r="AA10" s="232">
        <f t="shared" si="0"/>
        <v>96693.354279999985</v>
      </c>
      <c r="AB10" s="232">
        <f t="shared" si="1"/>
        <v>334170.00935999997</v>
      </c>
    </row>
    <row r="11" spans="1:28">
      <c r="A11" t="s">
        <v>2352</v>
      </c>
      <c r="B11">
        <v>5373</v>
      </c>
      <c r="C11" t="s">
        <v>2344</v>
      </c>
      <c r="D11">
        <v>5697</v>
      </c>
      <c r="E11" t="s">
        <v>2342</v>
      </c>
      <c r="F11" t="s">
        <v>2036</v>
      </c>
      <c r="G11">
        <v>2022</v>
      </c>
      <c r="H11">
        <v>1</v>
      </c>
      <c r="I11" s="8">
        <v>44562</v>
      </c>
      <c r="J11">
        <v>1850</v>
      </c>
      <c r="K11">
        <v>1650</v>
      </c>
      <c r="L11">
        <v>499142</v>
      </c>
      <c r="M11">
        <v>65908</v>
      </c>
      <c r="N11">
        <v>499142</v>
      </c>
      <c r="O11">
        <v>65908</v>
      </c>
      <c r="P11">
        <v>0</v>
      </c>
      <c r="Q11">
        <v>11.83</v>
      </c>
      <c r="R11">
        <v>21.22</v>
      </c>
      <c r="S11">
        <v>14.37</v>
      </c>
      <c r="T11">
        <v>302.83999999999997</v>
      </c>
      <c r="U11">
        <v>11723.87</v>
      </c>
      <c r="V11">
        <v>0</v>
      </c>
      <c r="W11">
        <v>0</v>
      </c>
      <c r="X11">
        <v>247861.86</v>
      </c>
      <c r="AA11" s="232">
        <f t="shared" si="0"/>
        <v>65018.268499999998</v>
      </c>
      <c r="AB11" s="232">
        <f t="shared" si="1"/>
        <v>171119.74199999997</v>
      </c>
    </row>
    <row r="12" spans="1:28">
      <c r="A12" t="s">
        <v>2353</v>
      </c>
      <c r="B12">
        <v>5373</v>
      </c>
      <c r="C12" t="s">
        <v>2344</v>
      </c>
      <c r="D12">
        <v>5697</v>
      </c>
      <c r="E12" t="s">
        <v>2342</v>
      </c>
      <c r="F12" t="s">
        <v>2036</v>
      </c>
      <c r="G12">
        <v>2022</v>
      </c>
      <c r="H12">
        <v>2</v>
      </c>
      <c r="I12" s="8">
        <v>44593</v>
      </c>
      <c r="J12">
        <v>2800</v>
      </c>
      <c r="K12">
        <v>2000</v>
      </c>
      <c r="L12">
        <v>856482</v>
      </c>
      <c r="M12">
        <v>83399</v>
      </c>
      <c r="N12">
        <v>837863</v>
      </c>
      <c r="O12">
        <v>83399</v>
      </c>
      <c r="P12">
        <v>18619</v>
      </c>
      <c r="Q12">
        <v>11.83</v>
      </c>
      <c r="R12">
        <v>21.22</v>
      </c>
      <c r="S12">
        <v>14.37</v>
      </c>
      <c r="T12">
        <v>302.83999999999997</v>
      </c>
      <c r="U12">
        <v>10836.59</v>
      </c>
      <c r="V12">
        <v>0</v>
      </c>
      <c r="W12">
        <v>0</v>
      </c>
      <c r="X12">
        <v>378901.65</v>
      </c>
      <c r="AA12" s="232">
        <f t="shared" si="0"/>
        <v>89070.089970000001</v>
      </c>
      <c r="AB12" s="232">
        <f t="shared" si="1"/>
        <v>278994.98407999997</v>
      </c>
    </row>
    <row r="13" spans="1:28">
      <c r="A13" t="s">
        <v>2354</v>
      </c>
      <c r="B13">
        <v>5373</v>
      </c>
      <c r="C13" t="s">
        <v>2344</v>
      </c>
      <c r="D13">
        <v>5697</v>
      </c>
      <c r="E13" t="s">
        <v>2342</v>
      </c>
      <c r="F13" t="s">
        <v>2036</v>
      </c>
      <c r="G13">
        <v>2022</v>
      </c>
      <c r="H13">
        <v>2</v>
      </c>
      <c r="I13" s="8">
        <v>44593</v>
      </c>
      <c r="J13">
        <v>1850</v>
      </c>
      <c r="K13">
        <v>1650</v>
      </c>
      <c r="L13">
        <v>406796</v>
      </c>
      <c r="M13">
        <v>58975</v>
      </c>
      <c r="N13">
        <v>406796</v>
      </c>
      <c r="O13">
        <v>58975</v>
      </c>
      <c r="P13">
        <v>0</v>
      </c>
      <c r="Q13">
        <v>11.83</v>
      </c>
      <c r="R13">
        <v>21.22</v>
      </c>
      <c r="S13">
        <v>14.37</v>
      </c>
      <c r="T13">
        <v>302.83999999999997</v>
      </c>
      <c r="U13">
        <v>6025.19</v>
      </c>
      <c r="V13">
        <v>0</v>
      </c>
      <c r="W13">
        <v>0</v>
      </c>
      <c r="X13">
        <v>210670.89</v>
      </c>
      <c r="AA13" s="232">
        <f t="shared" si="0"/>
        <v>63591.629269999998</v>
      </c>
      <c r="AB13" s="232">
        <f t="shared" si="1"/>
        <v>141054.08963999999</v>
      </c>
    </row>
    <row r="14" spans="1:28">
      <c r="A14" t="s">
        <v>2355</v>
      </c>
      <c r="B14">
        <v>5373</v>
      </c>
      <c r="C14" t="s">
        <v>2344</v>
      </c>
      <c r="D14">
        <v>5697</v>
      </c>
      <c r="E14" t="s">
        <v>2342</v>
      </c>
      <c r="F14" t="s">
        <v>2036</v>
      </c>
      <c r="G14">
        <v>2022</v>
      </c>
      <c r="H14">
        <v>3</v>
      </c>
      <c r="I14" s="8">
        <v>44621</v>
      </c>
      <c r="J14">
        <v>1850</v>
      </c>
      <c r="K14">
        <v>1650</v>
      </c>
      <c r="L14">
        <v>432910</v>
      </c>
      <c r="M14">
        <v>61231</v>
      </c>
      <c r="N14">
        <v>432910</v>
      </c>
      <c r="O14">
        <v>61231</v>
      </c>
      <c r="P14">
        <v>0</v>
      </c>
      <c r="Q14">
        <v>11.83</v>
      </c>
      <c r="R14">
        <v>21.22</v>
      </c>
      <c r="S14">
        <v>14.37</v>
      </c>
      <c r="T14">
        <v>302.83999999999997</v>
      </c>
      <c r="U14">
        <v>7245.19</v>
      </c>
      <c r="V14">
        <v>0</v>
      </c>
      <c r="W14">
        <v>0</v>
      </c>
      <c r="X14">
        <v>220890.13</v>
      </c>
      <c r="AA14" s="232">
        <f t="shared" si="0"/>
        <v>63999.306169999996</v>
      </c>
      <c r="AB14" s="232">
        <f t="shared" si="1"/>
        <v>149645.66044000001</v>
      </c>
    </row>
    <row r="15" spans="1:28">
      <c r="A15" t="s">
        <v>2356</v>
      </c>
      <c r="B15">
        <v>5373</v>
      </c>
      <c r="C15" t="s">
        <v>2344</v>
      </c>
      <c r="D15">
        <v>5697</v>
      </c>
      <c r="E15" t="s">
        <v>2342</v>
      </c>
      <c r="F15" t="s">
        <v>2036</v>
      </c>
      <c r="G15">
        <v>2022</v>
      </c>
      <c r="H15">
        <v>3</v>
      </c>
      <c r="I15" s="8">
        <v>44621</v>
      </c>
      <c r="J15">
        <v>2800</v>
      </c>
      <c r="K15">
        <v>2000</v>
      </c>
      <c r="L15">
        <v>1059542</v>
      </c>
      <c r="M15">
        <v>101972</v>
      </c>
      <c r="N15">
        <v>1039419</v>
      </c>
      <c r="O15">
        <v>101972</v>
      </c>
      <c r="P15">
        <v>20123</v>
      </c>
      <c r="Q15">
        <v>11.83</v>
      </c>
      <c r="R15">
        <v>21.22</v>
      </c>
      <c r="S15">
        <v>14.37</v>
      </c>
      <c r="T15">
        <v>302.83999999999997</v>
      </c>
      <c r="U15">
        <v>14850.68</v>
      </c>
      <c r="V15">
        <v>0</v>
      </c>
      <c r="W15">
        <v>0</v>
      </c>
      <c r="X15">
        <v>452764.46</v>
      </c>
      <c r="AA15" s="232">
        <f t="shared" si="0"/>
        <v>92254.956179999994</v>
      </c>
      <c r="AB15" s="232">
        <f t="shared" si="1"/>
        <v>345658.85044000001</v>
      </c>
    </row>
    <row r="16" spans="1:28">
      <c r="A16" t="s">
        <v>2357</v>
      </c>
      <c r="B16">
        <v>5373</v>
      </c>
      <c r="C16" t="s">
        <v>2344</v>
      </c>
      <c r="D16">
        <v>5697</v>
      </c>
      <c r="E16" t="s">
        <v>2342</v>
      </c>
      <c r="F16" t="s">
        <v>2036</v>
      </c>
      <c r="G16">
        <v>2022</v>
      </c>
      <c r="H16">
        <v>4</v>
      </c>
      <c r="I16" s="8">
        <v>44652</v>
      </c>
      <c r="J16">
        <v>2800</v>
      </c>
      <c r="K16">
        <v>2000</v>
      </c>
      <c r="L16">
        <v>1007475</v>
      </c>
      <c r="M16">
        <v>89884</v>
      </c>
      <c r="N16">
        <v>988113</v>
      </c>
      <c r="O16">
        <v>89884</v>
      </c>
      <c r="P16">
        <v>19362</v>
      </c>
      <c r="Q16">
        <v>11.83</v>
      </c>
      <c r="R16">
        <v>21.22</v>
      </c>
      <c r="S16">
        <v>14.37</v>
      </c>
      <c r="T16">
        <v>302.83999999999997</v>
      </c>
      <c r="U16">
        <v>9136.31</v>
      </c>
      <c r="V16">
        <v>0</v>
      </c>
      <c r="W16">
        <v>0</v>
      </c>
      <c r="X16">
        <v>426929.96</v>
      </c>
      <c r="AA16" s="232">
        <f t="shared" si="0"/>
        <v>91333.04883</v>
      </c>
      <c r="AB16" s="232">
        <f t="shared" si="1"/>
        <v>326460.61148000002</v>
      </c>
    </row>
    <row r="17" spans="1:28">
      <c r="A17" t="s">
        <v>2358</v>
      </c>
      <c r="B17">
        <v>5373</v>
      </c>
      <c r="C17" t="s">
        <v>2344</v>
      </c>
      <c r="D17">
        <v>5697</v>
      </c>
      <c r="E17" t="s">
        <v>2342</v>
      </c>
      <c r="F17" t="s">
        <v>2036</v>
      </c>
      <c r="G17">
        <v>2022</v>
      </c>
      <c r="H17">
        <v>4</v>
      </c>
      <c r="I17" s="8">
        <v>44652</v>
      </c>
      <c r="J17">
        <v>1850</v>
      </c>
      <c r="K17">
        <v>1650</v>
      </c>
      <c r="L17">
        <v>417536</v>
      </c>
      <c r="M17">
        <v>52951</v>
      </c>
      <c r="N17">
        <v>417536</v>
      </c>
      <c r="O17">
        <v>52951</v>
      </c>
      <c r="P17">
        <v>0</v>
      </c>
      <c r="Q17">
        <v>11.83</v>
      </c>
      <c r="R17">
        <v>21.22</v>
      </c>
      <c r="S17">
        <v>14.37</v>
      </c>
      <c r="T17">
        <v>302.83999999999997</v>
      </c>
      <c r="U17">
        <v>4507.8900000000003</v>
      </c>
      <c r="V17">
        <v>0</v>
      </c>
      <c r="W17">
        <v>0</v>
      </c>
      <c r="X17">
        <v>210649.56</v>
      </c>
      <c r="AA17" s="232">
        <f t="shared" si="0"/>
        <v>63659.39819</v>
      </c>
      <c r="AB17" s="232">
        <f t="shared" si="1"/>
        <v>142482.28307999999</v>
      </c>
    </row>
    <row r="18" spans="1:28">
      <c r="A18" t="s">
        <v>2359</v>
      </c>
      <c r="B18">
        <v>5373</v>
      </c>
      <c r="C18" t="s">
        <v>2344</v>
      </c>
      <c r="D18">
        <v>5697</v>
      </c>
      <c r="E18" t="s">
        <v>2342</v>
      </c>
      <c r="F18" t="s">
        <v>2036</v>
      </c>
      <c r="G18">
        <v>2022</v>
      </c>
      <c r="H18">
        <v>5</v>
      </c>
      <c r="I18" s="8">
        <v>44682</v>
      </c>
      <c r="J18">
        <v>2800</v>
      </c>
      <c r="K18">
        <v>2000</v>
      </c>
      <c r="L18">
        <v>1059274</v>
      </c>
      <c r="M18">
        <v>100411</v>
      </c>
      <c r="N18">
        <v>1037311</v>
      </c>
      <c r="O18">
        <v>100411</v>
      </c>
      <c r="P18">
        <v>21963</v>
      </c>
      <c r="Q18">
        <v>11.83</v>
      </c>
      <c r="R18">
        <v>21.22</v>
      </c>
      <c r="S18">
        <v>14.37</v>
      </c>
      <c r="T18">
        <v>302.83999999999997</v>
      </c>
      <c r="U18">
        <v>14205.94</v>
      </c>
      <c r="V18">
        <v>0</v>
      </c>
      <c r="W18">
        <v>-230.61</v>
      </c>
      <c r="X18">
        <v>450751.71</v>
      </c>
      <c r="AA18" s="232">
        <f t="shared" si="0"/>
        <v>92228.673450000002</v>
      </c>
      <c r="AB18" s="232">
        <f t="shared" si="1"/>
        <v>344547.73047999997</v>
      </c>
    </row>
    <row r="19" spans="1:28">
      <c r="A19" t="s">
        <v>2360</v>
      </c>
      <c r="B19">
        <v>5373</v>
      </c>
      <c r="C19" t="s">
        <v>2344</v>
      </c>
      <c r="D19">
        <v>5697</v>
      </c>
      <c r="E19" t="s">
        <v>2342</v>
      </c>
      <c r="F19" t="s">
        <v>2036</v>
      </c>
      <c r="G19">
        <v>2022</v>
      </c>
      <c r="H19">
        <v>5</v>
      </c>
      <c r="I19" s="8">
        <v>44682</v>
      </c>
      <c r="J19">
        <v>1850</v>
      </c>
      <c r="K19">
        <v>1650</v>
      </c>
      <c r="L19">
        <v>407258</v>
      </c>
      <c r="M19">
        <v>58648</v>
      </c>
      <c r="N19">
        <v>407258</v>
      </c>
      <c r="O19">
        <v>58648</v>
      </c>
      <c r="P19">
        <v>0</v>
      </c>
      <c r="Q19">
        <v>11.83</v>
      </c>
      <c r="R19">
        <v>21.22</v>
      </c>
      <c r="S19">
        <v>14.37</v>
      </c>
      <c r="T19">
        <v>302.83999999999997</v>
      </c>
      <c r="U19">
        <v>6657.39</v>
      </c>
      <c r="V19">
        <v>0</v>
      </c>
      <c r="W19">
        <v>-3123.21</v>
      </c>
      <c r="X19">
        <v>208222.71</v>
      </c>
      <c r="AA19" s="232">
        <f t="shared" si="0"/>
        <v>63593.569219999998</v>
      </c>
      <c r="AB19" s="232">
        <f t="shared" si="1"/>
        <v>141094.97303999998</v>
      </c>
    </row>
    <row r="20" spans="1:28">
      <c r="A20" t="s">
        <v>2402</v>
      </c>
      <c r="B20">
        <v>5373</v>
      </c>
      <c r="C20" t="s">
        <v>2344</v>
      </c>
      <c r="D20">
        <v>5697</v>
      </c>
      <c r="E20" t="s">
        <v>2342</v>
      </c>
      <c r="F20" t="s">
        <v>2036</v>
      </c>
      <c r="G20">
        <v>2022</v>
      </c>
      <c r="H20">
        <v>6</v>
      </c>
      <c r="I20" s="8">
        <v>44713</v>
      </c>
      <c r="J20">
        <v>1850</v>
      </c>
      <c r="K20">
        <v>1650</v>
      </c>
      <c r="L20">
        <v>408523</v>
      </c>
      <c r="M20">
        <v>57050</v>
      </c>
      <c r="N20">
        <v>408523</v>
      </c>
      <c r="O20">
        <v>57050</v>
      </c>
      <c r="P20">
        <v>0</v>
      </c>
      <c r="Q20">
        <v>11.83</v>
      </c>
      <c r="R20">
        <v>21.22</v>
      </c>
      <c r="S20">
        <v>14.37</v>
      </c>
      <c r="T20">
        <v>302.83999999999997</v>
      </c>
      <c r="U20">
        <v>8413.34</v>
      </c>
      <c r="V20">
        <v>0</v>
      </c>
      <c r="W20">
        <v>0</v>
      </c>
      <c r="X20">
        <v>212996.23</v>
      </c>
      <c r="AA20" s="232">
        <f t="shared" si="0"/>
        <v>63588.784010000003</v>
      </c>
      <c r="AB20" s="232">
        <f t="shared" si="1"/>
        <v>140994.12731999997</v>
      </c>
    </row>
    <row r="21" spans="1:28">
      <c r="A21" t="s">
        <v>2403</v>
      </c>
      <c r="B21">
        <v>5373</v>
      </c>
      <c r="C21" t="s">
        <v>2344</v>
      </c>
      <c r="D21">
        <v>5697</v>
      </c>
      <c r="E21" t="s">
        <v>2342</v>
      </c>
      <c r="F21" t="s">
        <v>2036</v>
      </c>
      <c r="G21">
        <v>2022</v>
      </c>
      <c r="H21">
        <v>6</v>
      </c>
      <c r="I21" s="8">
        <v>44713</v>
      </c>
      <c r="J21">
        <v>2800</v>
      </c>
      <c r="K21">
        <v>2000</v>
      </c>
      <c r="L21">
        <v>1003306</v>
      </c>
      <c r="M21">
        <v>94018</v>
      </c>
      <c r="N21">
        <v>981358</v>
      </c>
      <c r="O21">
        <v>94018</v>
      </c>
      <c r="P21">
        <v>21948</v>
      </c>
      <c r="Q21">
        <v>11.83</v>
      </c>
      <c r="R21">
        <v>21.22</v>
      </c>
      <c r="S21">
        <v>14.37</v>
      </c>
      <c r="T21">
        <v>302.83999999999997</v>
      </c>
      <c r="U21">
        <v>17148.84</v>
      </c>
      <c r="V21">
        <v>0</v>
      </c>
      <c r="W21">
        <v>0</v>
      </c>
      <c r="X21">
        <v>434148.23</v>
      </c>
      <c r="AA21" s="232">
        <f t="shared" si="0"/>
        <v>91332.545880000005</v>
      </c>
      <c r="AB21" s="232">
        <f t="shared" si="1"/>
        <v>325666.86783999996</v>
      </c>
    </row>
    <row r="22" spans="1:28">
      <c r="A22" t="s">
        <v>2404</v>
      </c>
      <c r="B22">
        <v>5373</v>
      </c>
      <c r="C22" t="s">
        <v>2344</v>
      </c>
      <c r="D22">
        <v>5697</v>
      </c>
      <c r="E22" t="s">
        <v>2342</v>
      </c>
      <c r="F22" t="s">
        <v>2036</v>
      </c>
      <c r="G22">
        <v>2022</v>
      </c>
      <c r="H22">
        <v>7</v>
      </c>
      <c r="I22" s="8">
        <v>44743</v>
      </c>
      <c r="J22">
        <v>2800</v>
      </c>
      <c r="K22">
        <v>2000</v>
      </c>
      <c r="L22">
        <v>1051039</v>
      </c>
      <c r="M22">
        <v>95647</v>
      </c>
      <c r="N22">
        <v>1028298</v>
      </c>
      <c r="O22">
        <v>95647</v>
      </c>
      <c r="P22">
        <v>22741</v>
      </c>
      <c r="Q22">
        <v>11.83</v>
      </c>
      <c r="R22">
        <v>21.22</v>
      </c>
      <c r="S22">
        <v>14.37</v>
      </c>
      <c r="T22">
        <v>302.83999999999997</v>
      </c>
      <c r="U22">
        <v>22806.720000000001</v>
      </c>
      <c r="V22">
        <v>0</v>
      </c>
      <c r="W22">
        <v>0</v>
      </c>
      <c r="X22">
        <v>458229.74</v>
      </c>
      <c r="AA22" s="232">
        <f t="shared" si="0"/>
        <v>92041.877819999994</v>
      </c>
      <c r="AB22" s="232">
        <f t="shared" si="1"/>
        <v>340375.50379999995</v>
      </c>
    </row>
    <row r="23" spans="1:28">
      <c r="A23" t="s">
        <v>2405</v>
      </c>
      <c r="B23">
        <v>5373</v>
      </c>
      <c r="C23" t="s">
        <v>2344</v>
      </c>
      <c r="D23">
        <v>5697</v>
      </c>
      <c r="E23" t="s">
        <v>2342</v>
      </c>
      <c r="F23" t="s">
        <v>2036</v>
      </c>
      <c r="G23">
        <v>2022</v>
      </c>
      <c r="H23">
        <v>7</v>
      </c>
      <c r="I23" s="8">
        <v>44743</v>
      </c>
      <c r="J23">
        <v>1850</v>
      </c>
      <c r="K23">
        <v>1650</v>
      </c>
      <c r="L23">
        <v>434313</v>
      </c>
      <c r="M23">
        <v>58955</v>
      </c>
      <c r="N23">
        <v>434313</v>
      </c>
      <c r="O23">
        <v>58955</v>
      </c>
      <c r="P23">
        <v>0</v>
      </c>
      <c r="Q23">
        <v>11.83</v>
      </c>
      <c r="R23">
        <v>21.22</v>
      </c>
      <c r="S23">
        <v>14.37</v>
      </c>
      <c r="T23">
        <v>302.83999999999997</v>
      </c>
      <c r="U23">
        <v>11253.53</v>
      </c>
      <c r="V23">
        <v>0</v>
      </c>
      <c r="W23">
        <v>0</v>
      </c>
      <c r="X23">
        <v>224621.55</v>
      </c>
      <c r="AA23" s="232">
        <f t="shared" si="0"/>
        <v>63986.761160000002</v>
      </c>
      <c r="AB23" s="232">
        <f t="shared" si="1"/>
        <v>149381.28111999997</v>
      </c>
    </row>
    <row r="24" spans="1:28" hidden="1">
      <c r="A24" t="s">
        <v>2361</v>
      </c>
      <c r="B24">
        <v>5373</v>
      </c>
      <c r="C24" t="s">
        <v>2344</v>
      </c>
      <c r="D24">
        <v>5697</v>
      </c>
      <c r="E24" t="s">
        <v>2342</v>
      </c>
      <c r="F24" t="s">
        <v>2036</v>
      </c>
      <c r="G24">
        <v>2021</v>
      </c>
      <c r="H24">
        <v>6</v>
      </c>
      <c r="I24" s="8">
        <v>44348</v>
      </c>
      <c r="J24">
        <v>2250</v>
      </c>
      <c r="K24">
        <v>1389.36</v>
      </c>
      <c r="L24">
        <v>714404</v>
      </c>
      <c r="M24">
        <v>60880</v>
      </c>
      <c r="N24">
        <v>682679</v>
      </c>
      <c r="O24">
        <v>60880</v>
      </c>
      <c r="P24">
        <v>31725</v>
      </c>
      <c r="Q24">
        <v>12.33</v>
      </c>
      <c r="R24">
        <v>23.94</v>
      </c>
      <c r="S24">
        <v>10.17</v>
      </c>
      <c r="T24">
        <v>264.43</v>
      </c>
      <c r="U24">
        <v>8918.8700000000008</v>
      </c>
      <c r="V24">
        <v>0</v>
      </c>
      <c r="W24">
        <v>0</v>
      </c>
      <c r="X24">
        <v>274426.55</v>
      </c>
      <c r="AA24" s="232">
        <f t="shared" si="0"/>
        <v>68888.416680000009</v>
      </c>
      <c r="AB24" s="232">
        <f t="shared" si="1"/>
        <v>196619.30637000001</v>
      </c>
    </row>
    <row r="25" spans="1:28" hidden="1">
      <c r="A25" t="s">
        <v>2362</v>
      </c>
      <c r="B25">
        <v>5373</v>
      </c>
      <c r="C25" t="s">
        <v>2344</v>
      </c>
      <c r="D25">
        <v>5697</v>
      </c>
      <c r="E25" t="s">
        <v>2342</v>
      </c>
      <c r="F25" t="s">
        <v>2036</v>
      </c>
      <c r="G25">
        <v>2021</v>
      </c>
      <c r="H25">
        <v>6</v>
      </c>
      <c r="I25" s="8">
        <v>44348</v>
      </c>
      <c r="J25">
        <v>1850</v>
      </c>
      <c r="K25">
        <v>1650</v>
      </c>
      <c r="L25">
        <v>446042</v>
      </c>
      <c r="M25">
        <v>56687</v>
      </c>
      <c r="N25">
        <v>446042</v>
      </c>
      <c r="O25">
        <v>56687</v>
      </c>
      <c r="P25">
        <v>0</v>
      </c>
      <c r="Q25">
        <v>12.33</v>
      </c>
      <c r="R25">
        <v>23.94</v>
      </c>
      <c r="S25">
        <v>10.17</v>
      </c>
      <c r="T25">
        <v>264.43</v>
      </c>
      <c r="U25">
        <v>6730.47</v>
      </c>
      <c r="V25">
        <v>0</v>
      </c>
      <c r="W25">
        <v>0</v>
      </c>
      <c r="X25">
        <v>207091.33</v>
      </c>
      <c r="AA25" s="232">
        <f t="shared" si="0"/>
        <v>67424.253930000006</v>
      </c>
      <c r="AB25" s="232">
        <f t="shared" si="1"/>
        <v>132936.62946999999</v>
      </c>
    </row>
    <row r="26" spans="1:28" hidden="1">
      <c r="A26" t="s">
        <v>2363</v>
      </c>
      <c r="B26">
        <v>5373</v>
      </c>
      <c r="C26" t="s">
        <v>2344</v>
      </c>
      <c r="D26">
        <v>5697</v>
      </c>
      <c r="E26" t="s">
        <v>2342</v>
      </c>
      <c r="F26" t="s">
        <v>2036</v>
      </c>
      <c r="G26">
        <v>2021</v>
      </c>
      <c r="H26">
        <v>7</v>
      </c>
      <c r="I26" s="8">
        <v>44378</v>
      </c>
      <c r="J26">
        <v>1850</v>
      </c>
      <c r="K26">
        <v>1650</v>
      </c>
      <c r="L26">
        <v>497538</v>
      </c>
      <c r="M26">
        <v>65962</v>
      </c>
      <c r="N26">
        <v>497538</v>
      </c>
      <c r="O26">
        <v>65962</v>
      </c>
      <c r="P26">
        <v>0</v>
      </c>
      <c r="Q26">
        <v>12.33</v>
      </c>
      <c r="R26">
        <v>23.94</v>
      </c>
      <c r="S26">
        <v>10.17</v>
      </c>
      <c r="T26">
        <v>264.43</v>
      </c>
      <c r="U26">
        <v>391.39</v>
      </c>
      <c r="V26">
        <v>0</v>
      </c>
      <c r="W26">
        <v>0</v>
      </c>
      <c r="X26">
        <v>217439.98</v>
      </c>
      <c r="AA26" s="232">
        <f t="shared" si="0"/>
        <v>68042.294999999998</v>
      </c>
      <c r="AB26" s="232">
        <f t="shared" si="1"/>
        <v>149006.30499999999</v>
      </c>
    </row>
    <row r="27" spans="1:28" hidden="1">
      <c r="A27" t="s">
        <v>2364</v>
      </c>
      <c r="B27">
        <v>5373</v>
      </c>
      <c r="C27" t="s">
        <v>2344</v>
      </c>
      <c r="D27">
        <v>5697</v>
      </c>
      <c r="E27" t="s">
        <v>2342</v>
      </c>
      <c r="F27" t="s">
        <v>2036</v>
      </c>
      <c r="G27">
        <v>2021</v>
      </c>
      <c r="H27">
        <v>7</v>
      </c>
      <c r="I27" s="8">
        <v>44378</v>
      </c>
      <c r="J27">
        <v>2250</v>
      </c>
      <c r="K27">
        <v>1389.36</v>
      </c>
      <c r="L27">
        <v>758235</v>
      </c>
      <c r="M27">
        <v>62161</v>
      </c>
      <c r="N27">
        <v>725617</v>
      </c>
      <c r="O27">
        <v>62161</v>
      </c>
      <c r="P27">
        <v>32618</v>
      </c>
      <c r="Q27">
        <v>12.33</v>
      </c>
      <c r="R27">
        <v>23.94</v>
      </c>
      <c r="S27">
        <v>10.17</v>
      </c>
      <c r="T27">
        <v>264.43</v>
      </c>
      <c r="U27">
        <v>500.7</v>
      </c>
      <c r="V27">
        <v>0</v>
      </c>
      <c r="W27">
        <v>0</v>
      </c>
      <c r="X27">
        <v>278160.01</v>
      </c>
      <c r="AA27" s="232">
        <f t="shared" si="0"/>
        <v>69347.205719999998</v>
      </c>
      <c r="AB27" s="232">
        <f t="shared" si="1"/>
        <v>208312.13654000001</v>
      </c>
    </row>
    <row r="28" spans="1:28" hidden="1">
      <c r="A28" t="s">
        <v>2365</v>
      </c>
      <c r="B28">
        <v>5373</v>
      </c>
      <c r="C28" t="s">
        <v>2344</v>
      </c>
      <c r="D28">
        <v>5697</v>
      </c>
      <c r="E28" t="s">
        <v>2342</v>
      </c>
      <c r="F28" t="s">
        <v>2036</v>
      </c>
      <c r="G28">
        <v>2021</v>
      </c>
      <c r="H28">
        <v>8</v>
      </c>
      <c r="I28" s="8">
        <v>44409</v>
      </c>
      <c r="J28">
        <v>1850</v>
      </c>
      <c r="K28">
        <v>1650</v>
      </c>
      <c r="L28">
        <v>448579</v>
      </c>
      <c r="M28">
        <v>61764</v>
      </c>
      <c r="N28">
        <v>448579</v>
      </c>
      <c r="O28">
        <v>61764</v>
      </c>
      <c r="P28">
        <v>0</v>
      </c>
      <c r="Q28">
        <v>12.33</v>
      </c>
      <c r="R28">
        <v>23.94</v>
      </c>
      <c r="S28">
        <v>10.17</v>
      </c>
      <c r="T28">
        <v>264.43</v>
      </c>
      <c r="U28">
        <v>813.07</v>
      </c>
      <c r="V28">
        <v>0</v>
      </c>
      <c r="W28">
        <v>0</v>
      </c>
      <c r="X28">
        <v>203264.73</v>
      </c>
      <c r="AA28" s="232">
        <f t="shared" si="0"/>
        <v>67501.688309999998</v>
      </c>
      <c r="AB28" s="232">
        <f t="shared" si="1"/>
        <v>134949.99949000002</v>
      </c>
    </row>
    <row r="29" spans="1:28" hidden="1">
      <c r="A29" t="s">
        <v>2366</v>
      </c>
      <c r="B29">
        <v>5373</v>
      </c>
      <c r="C29" t="s">
        <v>2344</v>
      </c>
      <c r="D29">
        <v>5697</v>
      </c>
      <c r="E29" t="s">
        <v>2342</v>
      </c>
      <c r="F29" t="s">
        <v>2036</v>
      </c>
      <c r="G29">
        <v>2021</v>
      </c>
      <c r="H29">
        <v>8</v>
      </c>
      <c r="I29" s="8">
        <v>44409</v>
      </c>
      <c r="J29">
        <v>2250</v>
      </c>
      <c r="K29">
        <v>1454.88</v>
      </c>
      <c r="L29">
        <v>763526</v>
      </c>
      <c r="M29">
        <v>63523</v>
      </c>
      <c r="N29">
        <v>729579</v>
      </c>
      <c r="O29">
        <v>63523</v>
      </c>
      <c r="P29">
        <v>33947</v>
      </c>
      <c r="Q29">
        <v>12.33</v>
      </c>
      <c r="R29">
        <v>23.94</v>
      </c>
      <c r="S29">
        <v>10.17</v>
      </c>
      <c r="T29">
        <v>264.43</v>
      </c>
      <c r="U29">
        <v>1127.33</v>
      </c>
      <c r="V29">
        <v>0</v>
      </c>
      <c r="W29">
        <v>0</v>
      </c>
      <c r="X29">
        <v>281830.67</v>
      </c>
      <c r="AA29" s="232">
        <f t="shared" si="0"/>
        <v>70983.415530000013</v>
      </c>
      <c r="AB29" s="232">
        <f t="shared" si="1"/>
        <v>209719.96186000001</v>
      </c>
    </row>
    <row r="30" spans="1:28" hidden="1">
      <c r="AA30" s="232">
        <f t="shared" si="0"/>
        <v>0</v>
      </c>
      <c r="AB30" s="232">
        <f t="shared" si="1"/>
        <v>0</v>
      </c>
    </row>
    <row r="31" spans="1:28" hidden="1">
      <c r="AA31" s="232">
        <f t="shared" si="0"/>
        <v>0</v>
      </c>
      <c r="AB31" s="232">
        <f t="shared" si="1"/>
        <v>0</v>
      </c>
    </row>
    <row r="32" spans="1:28" hidden="1">
      <c r="AA32" s="232">
        <f t="shared" si="0"/>
        <v>0</v>
      </c>
      <c r="AB32" s="232">
        <f t="shared" si="1"/>
        <v>0</v>
      </c>
    </row>
    <row r="33" spans="27:28" hidden="1">
      <c r="AA33" s="232">
        <f t="shared" si="0"/>
        <v>0</v>
      </c>
      <c r="AB33" s="232">
        <f t="shared" si="1"/>
        <v>0</v>
      </c>
    </row>
    <row r="34" spans="27:28" hidden="1">
      <c r="AA34" s="232">
        <f t="shared" si="0"/>
        <v>0</v>
      </c>
      <c r="AB34" s="232">
        <f t="shared" si="1"/>
        <v>0</v>
      </c>
    </row>
    <row r="35" spans="27:28" hidden="1">
      <c r="AA35" s="232">
        <f t="shared" si="0"/>
        <v>0</v>
      </c>
      <c r="AB35" s="232">
        <f t="shared" si="1"/>
        <v>0</v>
      </c>
    </row>
    <row r="36" spans="27:28" hidden="1">
      <c r="AA36" s="232">
        <f t="shared" si="0"/>
        <v>0</v>
      </c>
      <c r="AB36" s="232">
        <f t="shared" si="1"/>
        <v>0</v>
      </c>
    </row>
    <row r="37" spans="27:28" hidden="1">
      <c r="AA37" s="232">
        <f t="shared" si="0"/>
        <v>0</v>
      </c>
      <c r="AB37" s="232">
        <f t="shared" si="1"/>
        <v>0</v>
      </c>
    </row>
    <row r="38" spans="27:28" hidden="1">
      <c r="AA38" s="232">
        <f t="shared" si="0"/>
        <v>0</v>
      </c>
      <c r="AB38" s="232">
        <f t="shared" si="1"/>
        <v>0</v>
      </c>
    </row>
    <row r="39" spans="27:28" hidden="1">
      <c r="AA39" s="232">
        <f t="shared" si="0"/>
        <v>0</v>
      </c>
      <c r="AB39" s="232">
        <f t="shared" si="1"/>
        <v>0</v>
      </c>
    </row>
    <row r="40" spans="27:28" hidden="1">
      <c r="AA40" s="232">
        <f t="shared" si="0"/>
        <v>0</v>
      </c>
      <c r="AB40" s="232">
        <f t="shared" si="1"/>
        <v>0</v>
      </c>
    </row>
    <row r="41" spans="27:28" hidden="1">
      <c r="AA41" s="232">
        <f t="shared" si="0"/>
        <v>0</v>
      </c>
      <c r="AB41" s="232">
        <f t="shared" si="1"/>
        <v>0</v>
      </c>
    </row>
    <row r="42" spans="27:28" hidden="1">
      <c r="AA42" s="232">
        <f t="shared" si="0"/>
        <v>0</v>
      </c>
      <c r="AB42" s="232">
        <f t="shared" si="1"/>
        <v>0</v>
      </c>
    </row>
    <row r="43" spans="27:28" hidden="1">
      <c r="AA43" s="232">
        <f t="shared" si="0"/>
        <v>0</v>
      </c>
      <c r="AB43" s="232">
        <f t="shared" si="1"/>
        <v>0</v>
      </c>
    </row>
    <row r="44" spans="27:28" hidden="1">
      <c r="AA44" s="232">
        <f t="shared" si="0"/>
        <v>0</v>
      </c>
      <c r="AB44" s="232">
        <f t="shared" si="1"/>
        <v>0</v>
      </c>
    </row>
    <row r="45" spans="27:28" hidden="1">
      <c r="AA45" s="232">
        <f t="shared" si="0"/>
        <v>0</v>
      </c>
      <c r="AB45" s="232">
        <f t="shared" si="1"/>
        <v>0</v>
      </c>
    </row>
    <row r="46" spans="27:28" hidden="1">
      <c r="AA46" s="232">
        <f t="shared" si="0"/>
        <v>0</v>
      </c>
      <c r="AB46" s="232">
        <f t="shared" si="1"/>
        <v>0</v>
      </c>
    </row>
    <row r="47" spans="27:28" hidden="1">
      <c r="AA47" s="232">
        <f t="shared" si="0"/>
        <v>0</v>
      </c>
      <c r="AB47" s="232">
        <f t="shared" si="1"/>
        <v>0</v>
      </c>
    </row>
    <row r="48" spans="27:28" hidden="1">
      <c r="AA48" s="232">
        <f t="shared" si="0"/>
        <v>0</v>
      </c>
      <c r="AB48" s="232">
        <f t="shared" si="1"/>
        <v>0</v>
      </c>
    </row>
    <row r="49" spans="27:28" hidden="1">
      <c r="AA49" s="232">
        <f t="shared" si="0"/>
        <v>0</v>
      </c>
      <c r="AB49" s="232">
        <f t="shared" si="1"/>
        <v>0</v>
      </c>
    </row>
    <row r="50" spans="27:28" hidden="1">
      <c r="AA50" s="232">
        <f t="shared" si="0"/>
        <v>0</v>
      </c>
      <c r="AB50" s="232">
        <f t="shared" si="1"/>
        <v>0</v>
      </c>
    </row>
    <row r="51" spans="27:28" hidden="1">
      <c r="AA51" s="232">
        <f t="shared" si="0"/>
        <v>0</v>
      </c>
      <c r="AB51" s="232">
        <f t="shared" si="1"/>
        <v>0</v>
      </c>
    </row>
    <row r="52" spans="27:28" hidden="1">
      <c r="AA52" s="232">
        <f t="shared" si="0"/>
        <v>0</v>
      </c>
      <c r="AB52" s="232">
        <f t="shared" si="1"/>
        <v>0</v>
      </c>
    </row>
    <row r="53" spans="27:28" hidden="1">
      <c r="AA53" s="232">
        <f t="shared" si="0"/>
        <v>0</v>
      </c>
      <c r="AB53" s="232">
        <f t="shared" si="1"/>
        <v>0</v>
      </c>
    </row>
    <row r="54" spans="27:28" hidden="1">
      <c r="AA54" s="232">
        <f t="shared" si="0"/>
        <v>0</v>
      </c>
      <c r="AB54" s="232">
        <f t="shared" si="1"/>
        <v>0</v>
      </c>
    </row>
    <row r="55" spans="27:28" hidden="1">
      <c r="AA55" s="232">
        <f t="shared" si="0"/>
        <v>0</v>
      </c>
      <c r="AB55" s="232">
        <f t="shared" si="1"/>
        <v>0</v>
      </c>
    </row>
    <row r="56" spans="27:28" hidden="1">
      <c r="AA56" s="232">
        <f t="shared" si="0"/>
        <v>0</v>
      </c>
      <c r="AB56" s="232">
        <f t="shared" si="1"/>
        <v>0</v>
      </c>
    </row>
    <row r="57" spans="27:28" hidden="1">
      <c r="AA57" s="232">
        <f t="shared" si="0"/>
        <v>0</v>
      </c>
      <c r="AB57" s="232">
        <f t="shared" si="1"/>
        <v>0</v>
      </c>
    </row>
    <row r="58" spans="27:28" hidden="1">
      <c r="AA58" s="232">
        <f t="shared" si="0"/>
        <v>0</v>
      </c>
      <c r="AB58" s="232">
        <f t="shared" si="1"/>
        <v>0</v>
      </c>
    </row>
    <row r="59" spans="27:28" hidden="1">
      <c r="AA59" s="232">
        <f t="shared" si="0"/>
        <v>0</v>
      </c>
      <c r="AB59" s="232">
        <f t="shared" si="1"/>
        <v>0</v>
      </c>
    </row>
    <row r="60" spans="27:28" hidden="1">
      <c r="AA60" s="232">
        <f t="shared" si="0"/>
        <v>0</v>
      </c>
      <c r="AB60" s="232">
        <f t="shared" si="1"/>
        <v>0</v>
      </c>
    </row>
    <row r="61" spans="27:28" hidden="1">
      <c r="AA61" s="232">
        <f t="shared" si="0"/>
        <v>0</v>
      </c>
      <c r="AB61" s="232">
        <f t="shared" si="1"/>
        <v>0</v>
      </c>
    </row>
    <row r="62" spans="27:28" hidden="1">
      <c r="AA62" s="232">
        <f t="shared" si="0"/>
        <v>0</v>
      </c>
      <c r="AB62" s="232">
        <f t="shared" si="1"/>
        <v>0</v>
      </c>
    </row>
    <row r="63" spans="27:28" hidden="1">
      <c r="AA63" s="232">
        <f t="shared" si="0"/>
        <v>0</v>
      </c>
      <c r="AB63" s="232">
        <f t="shared" si="1"/>
        <v>0</v>
      </c>
    </row>
    <row r="64" spans="27:28" hidden="1">
      <c r="AA64" s="232">
        <f t="shared" si="0"/>
        <v>0</v>
      </c>
      <c r="AB64" s="232">
        <f t="shared" si="1"/>
        <v>0</v>
      </c>
    </row>
    <row r="65" spans="27:28" hidden="1">
      <c r="AA65" s="232">
        <f t="shared" si="0"/>
        <v>0</v>
      </c>
      <c r="AB65" s="232">
        <f t="shared" si="1"/>
        <v>0</v>
      </c>
    </row>
    <row r="66" spans="27:28" hidden="1">
      <c r="AA66" s="232">
        <f t="shared" si="0"/>
        <v>0</v>
      </c>
      <c r="AB66" s="232">
        <f t="shared" si="1"/>
        <v>0</v>
      </c>
    </row>
    <row r="67" spans="27:28" hidden="1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 hidden="1">
      <c r="AA68" s="232">
        <f t="shared" si="2"/>
        <v>0</v>
      </c>
      <c r="AB68" s="232">
        <f t="shared" si="3"/>
        <v>0</v>
      </c>
    </row>
    <row r="69" spans="27:28" hidden="1">
      <c r="AA69" s="232">
        <f t="shared" si="2"/>
        <v>0</v>
      </c>
      <c r="AB69" s="232">
        <f t="shared" si="3"/>
        <v>0</v>
      </c>
    </row>
    <row r="70" spans="27:28" hidden="1">
      <c r="AA70" s="232">
        <f t="shared" si="2"/>
        <v>0</v>
      </c>
      <c r="AB70" s="232">
        <f t="shared" si="3"/>
        <v>0</v>
      </c>
    </row>
    <row r="71" spans="27:28" hidden="1">
      <c r="AA71" s="232">
        <f t="shared" si="2"/>
        <v>0</v>
      </c>
      <c r="AB71" s="232">
        <f t="shared" si="3"/>
        <v>0</v>
      </c>
    </row>
    <row r="72" spans="27:28" hidden="1">
      <c r="AA72" s="232">
        <f t="shared" si="2"/>
        <v>0</v>
      </c>
      <c r="AB72" s="232">
        <f t="shared" si="3"/>
        <v>0</v>
      </c>
    </row>
    <row r="73" spans="27:28" hidden="1">
      <c r="AA73" s="232">
        <f t="shared" si="2"/>
        <v>0</v>
      </c>
      <c r="AB73" s="232">
        <f t="shared" si="3"/>
        <v>0</v>
      </c>
    </row>
    <row r="74" spans="27:28" hidden="1">
      <c r="AA74" s="232">
        <f t="shared" si="2"/>
        <v>0</v>
      </c>
      <c r="AB74" s="232">
        <f t="shared" si="3"/>
        <v>0</v>
      </c>
    </row>
    <row r="75" spans="27:28" hidden="1">
      <c r="AA75" s="232">
        <f t="shared" si="2"/>
        <v>0</v>
      </c>
      <c r="AB75" s="232">
        <f t="shared" si="3"/>
        <v>0</v>
      </c>
    </row>
    <row r="76" spans="27:28" hidden="1">
      <c r="AA76" s="232">
        <f t="shared" si="2"/>
        <v>0</v>
      </c>
      <c r="AB76" s="232">
        <f t="shared" si="3"/>
        <v>0</v>
      </c>
    </row>
    <row r="77" spans="27:28" hidden="1">
      <c r="AA77" s="232">
        <f t="shared" si="2"/>
        <v>0</v>
      </c>
      <c r="AB77" s="232">
        <f t="shared" si="3"/>
        <v>0</v>
      </c>
    </row>
    <row r="78" spans="27:28" hidden="1">
      <c r="AA78" s="232">
        <f t="shared" si="2"/>
        <v>0</v>
      </c>
      <c r="AB78" s="232">
        <f t="shared" si="3"/>
        <v>0</v>
      </c>
    </row>
    <row r="79" spans="27:28" hidden="1">
      <c r="AA79" s="232">
        <f t="shared" si="2"/>
        <v>0</v>
      </c>
      <c r="AB79" s="232">
        <f t="shared" si="3"/>
        <v>0</v>
      </c>
    </row>
    <row r="80" spans="27:28" hidden="1">
      <c r="AA80" s="232">
        <f t="shared" si="2"/>
        <v>0</v>
      </c>
      <c r="AB80" s="232">
        <f t="shared" si="3"/>
        <v>0</v>
      </c>
    </row>
    <row r="81" spans="27:28" hidden="1">
      <c r="AA81" s="232">
        <f t="shared" si="2"/>
        <v>0</v>
      </c>
      <c r="AB81" s="232">
        <f t="shared" si="3"/>
        <v>0</v>
      </c>
    </row>
    <row r="82" spans="27:28" hidden="1">
      <c r="AA82" s="232">
        <f t="shared" si="2"/>
        <v>0</v>
      </c>
      <c r="AB82" s="232">
        <f t="shared" si="3"/>
        <v>0</v>
      </c>
    </row>
    <row r="83" spans="27:28" hidden="1">
      <c r="AA83" s="232">
        <f t="shared" si="2"/>
        <v>0</v>
      </c>
      <c r="AB83" s="232">
        <f t="shared" si="3"/>
        <v>0</v>
      </c>
    </row>
    <row r="84" spans="27:28" hidden="1">
      <c r="AA84" s="232">
        <f t="shared" si="2"/>
        <v>0</v>
      </c>
      <c r="AB84" s="232">
        <f t="shared" si="3"/>
        <v>0</v>
      </c>
    </row>
    <row r="85" spans="27:28" hidden="1">
      <c r="AA85" s="232">
        <f t="shared" si="2"/>
        <v>0</v>
      </c>
      <c r="AB85" s="232">
        <f t="shared" si="3"/>
        <v>0</v>
      </c>
    </row>
    <row r="86" spans="27:28" hidden="1">
      <c r="AA86" s="232">
        <f t="shared" si="2"/>
        <v>0</v>
      </c>
      <c r="AB86" s="232">
        <f t="shared" si="3"/>
        <v>0</v>
      </c>
    </row>
    <row r="87" spans="27:28" hidden="1">
      <c r="AA87" s="232">
        <f t="shared" si="2"/>
        <v>0</v>
      </c>
      <c r="AB87" s="232">
        <f t="shared" si="3"/>
        <v>0</v>
      </c>
    </row>
    <row r="88" spans="27:28" hidden="1">
      <c r="AA88" s="232">
        <f t="shared" si="2"/>
        <v>0</v>
      </c>
      <c r="AB88" s="232">
        <f t="shared" si="3"/>
        <v>0</v>
      </c>
    </row>
    <row r="89" spans="27:28" hidden="1">
      <c r="AA89" s="232">
        <f t="shared" si="2"/>
        <v>0</v>
      </c>
      <c r="AB89" s="232">
        <f t="shared" si="3"/>
        <v>0</v>
      </c>
    </row>
    <row r="90" spans="27:28" hidden="1">
      <c r="AA90" s="232">
        <f t="shared" si="2"/>
        <v>0</v>
      </c>
      <c r="AB90" s="232">
        <f t="shared" si="3"/>
        <v>0</v>
      </c>
    </row>
    <row r="91" spans="27:28" hidden="1">
      <c r="AA91" s="232">
        <f t="shared" si="2"/>
        <v>0</v>
      </c>
      <c r="AB91" s="232">
        <f t="shared" si="3"/>
        <v>0</v>
      </c>
    </row>
    <row r="92" spans="27:28" hidden="1">
      <c r="AA92" s="232">
        <f t="shared" si="2"/>
        <v>0</v>
      </c>
      <c r="AB92" s="232">
        <f t="shared" si="3"/>
        <v>0</v>
      </c>
    </row>
    <row r="93" spans="27:28" hidden="1">
      <c r="AA93" s="232">
        <f t="shared" si="2"/>
        <v>0</v>
      </c>
      <c r="AB93" s="232">
        <f t="shared" si="3"/>
        <v>0</v>
      </c>
    </row>
    <row r="94" spans="27:28" hidden="1">
      <c r="AA94" s="232">
        <f t="shared" si="2"/>
        <v>0</v>
      </c>
      <c r="AB94" s="232">
        <f t="shared" si="3"/>
        <v>0</v>
      </c>
    </row>
    <row r="95" spans="27:28" hidden="1">
      <c r="AA95" s="232">
        <f t="shared" si="2"/>
        <v>0</v>
      </c>
      <c r="AB95" s="232">
        <f t="shared" si="3"/>
        <v>0</v>
      </c>
    </row>
    <row r="96" spans="27:28" hidden="1">
      <c r="AA96" s="232">
        <f t="shared" si="2"/>
        <v>0</v>
      </c>
      <c r="AB96" s="232">
        <f t="shared" si="3"/>
        <v>0</v>
      </c>
    </row>
    <row r="97" spans="27:28" hidden="1">
      <c r="AA97" s="232">
        <f t="shared" si="2"/>
        <v>0</v>
      </c>
      <c r="AB97" s="232">
        <f t="shared" si="3"/>
        <v>0</v>
      </c>
    </row>
    <row r="98" spans="27:28" hidden="1">
      <c r="AA98" s="232">
        <f t="shared" si="2"/>
        <v>0</v>
      </c>
      <c r="AB98" s="232">
        <f t="shared" si="3"/>
        <v>0</v>
      </c>
    </row>
    <row r="99" spans="27:28" hidden="1">
      <c r="AA99" s="232">
        <f t="shared" si="2"/>
        <v>0</v>
      </c>
      <c r="AB99" s="232">
        <f t="shared" si="3"/>
        <v>0</v>
      </c>
    </row>
    <row r="100" spans="27:28" hidden="1">
      <c r="AA100" s="232">
        <f t="shared" si="2"/>
        <v>0</v>
      </c>
      <c r="AB100" s="232">
        <f t="shared" si="3"/>
        <v>0</v>
      </c>
    </row>
    <row r="101" spans="27:28" hidden="1">
      <c r="AA101" s="232">
        <f t="shared" si="2"/>
        <v>0</v>
      </c>
      <c r="AB101" s="232">
        <f t="shared" si="3"/>
        <v>0</v>
      </c>
    </row>
    <row r="102" spans="27:28" hidden="1">
      <c r="AA102" s="232">
        <f t="shared" si="2"/>
        <v>0</v>
      </c>
      <c r="AB102" s="232">
        <f t="shared" si="3"/>
        <v>0</v>
      </c>
    </row>
    <row r="103" spans="27:28" hidden="1">
      <c r="AA103" s="232">
        <f t="shared" si="2"/>
        <v>0</v>
      </c>
      <c r="AB103" s="232">
        <f t="shared" si="3"/>
        <v>0</v>
      </c>
    </row>
    <row r="104" spans="27:28" hidden="1">
      <c r="AA104" s="232">
        <f t="shared" si="2"/>
        <v>0</v>
      </c>
      <c r="AB104" s="232">
        <f t="shared" si="3"/>
        <v>0</v>
      </c>
    </row>
    <row r="105" spans="27:28" hidden="1">
      <c r="AA105" s="232">
        <f t="shared" si="2"/>
        <v>0</v>
      </c>
      <c r="AB105" s="232">
        <f t="shared" si="3"/>
        <v>0</v>
      </c>
    </row>
    <row r="106" spans="27:28" hidden="1">
      <c r="AA106" s="232">
        <f t="shared" si="2"/>
        <v>0</v>
      </c>
      <c r="AB106" s="232">
        <f t="shared" si="3"/>
        <v>0</v>
      </c>
    </row>
    <row r="107" spans="27:28" hidden="1">
      <c r="AA107" s="232">
        <f t="shared" si="2"/>
        <v>0</v>
      </c>
      <c r="AB107" s="232">
        <f t="shared" si="3"/>
        <v>0</v>
      </c>
    </row>
    <row r="108" spans="27:28" hidden="1">
      <c r="AA108" s="232">
        <f t="shared" si="2"/>
        <v>0</v>
      </c>
      <c r="AB108" s="232">
        <f t="shared" si="3"/>
        <v>0</v>
      </c>
    </row>
    <row r="109" spans="27:28" hidden="1">
      <c r="AA109" s="232">
        <f t="shared" si="2"/>
        <v>0</v>
      </c>
      <c r="AB109" s="232">
        <f t="shared" si="3"/>
        <v>0</v>
      </c>
    </row>
    <row r="110" spans="27:28" hidden="1">
      <c r="AA110" s="232">
        <f t="shared" si="2"/>
        <v>0</v>
      </c>
      <c r="AB110" s="232">
        <f t="shared" si="3"/>
        <v>0</v>
      </c>
    </row>
    <row r="111" spans="27:28" hidden="1">
      <c r="AA111" s="232">
        <f t="shared" si="2"/>
        <v>0</v>
      </c>
      <c r="AB111" s="232">
        <f t="shared" si="3"/>
        <v>0</v>
      </c>
    </row>
    <row r="112" spans="27:28" hidden="1">
      <c r="AA112" s="232">
        <f t="shared" si="2"/>
        <v>0</v>
      </c>
      <c r="AB112" s="232">
        <f t="shared" si="3"/>
        <v>0</v>
      </c>
    </row>
    <row r="113" spans="27:28" hidden="1">
      <c r="AA113" s="232">
        <f t="shared" si="2"/>
        <v>0</v>
      </c>
      <c r="AB113" s="232">
        <f t="shared" si="3"/>
        <v>0</v>
      </c>
    </row>
    <row r="114" spans="27:28" hidden="1">
      <c r="AA114" s="232">
        <f t="shared" si="2"/>
        <v>0</v>
      </c>
      <c r="AB114" s="232">
        <f t="shared" si="3"/>
        <v>0</v>
      </c>
    </row>
    <row r="115" spans="27:28" hidden="1">
      <c r="AA115" s="232">
        <f t="shared" si="2"/>
        <v>0</v>
      </c>
      <c r="AB115" s="232">
        <f t="shared" si="3"/>
        <v>0</v>
      </c>
    </row>
    <row r="116" spans="27:28" hidden="1">
      <c r="AA116" s="232">
        <f t="shared" si="2"/>
        <v>0</v>
      </c>
      <c r="AB116" s="232">
        <f t="shared" si="3"/>
        <v>0</v>
      </c>
    </row>
    <row r="117" spans="27:28" hidden="1">
      <c r="AA117" s="232">
        <f t="shared" si="2"/>
        <v>0</v>
      </c>
      <c r="AB117" s="232">
        <f t="shared" si="3"/>
        <v>0</v>
      </c>
    </row>
    <row r="118" spans="27:28" hidden="1">
      <c r="AA118" s="232">
        <f t="shared" si="2"/>
        <v>0</v>
      </c>
      <c r="AB118" s="232">
        <f t="shared" si="3"/>
        <v>0</v>
      </c>
    </row>
    <row r="119" spans="27:28" hidden="1">
      <c r="AA119" s="232">
        <f t="shared" si="2"/>
        <v>0</v>
      </c>
      <c r="AB119" s="232">
        <f t="shared" si="3"/>
        <v>0</v>
      </c>
    </row>
    <row r="120" spans="27:28" hidden="1">
      <c r="AA120" s="232">
        <f t="shared" si="2"/>
        <v>0</v>
      </c>
      <c r="AB120" s="232">
        <f t="shared" si="3"/>
        <v>0</v>
      </c>
    </row>
    <row r="121" spans="27:28" hidden="1">
      <c r="AA121" s="232">
        <f t="shared" si="2"/>
        <v>0</v>
      </c>
      <c r="AB121" s="232">
        <f t="shared" si="3"/>
        <v>0</v>
      </c>
    </row>
    <row r="122" spans="27:28" hidden="1">
      <c r="AA122" s="232">
        <f t="shared" si="2"/>
        <v>0</v>
      </c>
      <c r="AB122" s="232">
        <f t="shared" si="3"/>
        <v>0</v>
      </c>
    </row>
    <row r="123" spans="27:28" hidden="1">
      <c r="AA123" s="232">
        <f t="shared" si="2"/>
        <v>0</v>
      </c>
      <c r="AB123" s="232">
        <f t="shared" si="3"/>
        <v>0</v>
      </c>
    </row>
    <row r="124" spans="27:28" hidden="1">
      <c r="AA124" s="232">
        <f t="shared" si="2"/>
        <v>0</v>
      </c>
      <c r="AB124" s="232">
        <f t="shared" si="3"/>
        <v>0</v>
      </c>
    </row>
    <row r="125" spans="27:28" hidden="1">
      <c r="AA125" s="232">
        <f t="shared" si="2"/>
        <v>0</v>
      </c>
      <c r="AB125" s="232">
        <f t="shared" si="3"/>
        <v>0</v>
      </c>
    </row>
    <row r="126" spans="27:28" hidden="1">
      <c r="AA126" s="232">
        <f t="shared" si="2"/>
        <v>0</v>
      </c>
      <c r="AB126" s="232">
        <f t="shared" si="3"/>
        <v>0</v>
      </c>
    </row>
    <row r="127" spans="27:28" hidden="1">
      <c r="AA127" s="232">
        <f t="shared" si="2"/>
        <v>0</v>
      </c>
      <c r="AB127" s="232">
        <f t="shared" si="3"/>
        <v>0</v>
      </c>
    </row>
    <row r="128" spans="27:28" hidden="1">
      <c r="AA128" s="232">
        <f t="shared" si="2"/>
        <v>0</v>
      </c>
      <c r="AB128" s="232">
        <f t="shared" si="3"/>
        <v>0</v>
      </c>
    </row>
    <row r="129" spans="27:28" hidden="1">
      <c r="AA129" s="232">
        <f t="shared" si="2"/>
        <v>0</v>
      </c>
      <c r="AB129" s="232">
        <f t="shared" si="3"/>
        <v>0</v>
      </c>
    </row>
    <row r="130" spans="27:28" hidden="1">
      <c r="AA130" s="232">
        <f t="shared" si="2"/>
        <v>0</v>
      </c>
      <c r="AB130" s="232">
        <f t="shared" si="3"/>
        <v>0</v>
      </c>
    </row>
    <row r="131" spans="27:28" hidden="1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 hidden="1">
      <c r="AA132" s="232">
        <f t="shared" si="4"/>
        <v>0</v>
      </c>
      <c r="AB132" s="232">
        <f t="shared" si="5"/>
        <v>0</v>
      </c>
    </row>
    <row r="133" spans="27:28" hidden="1">
      <c r="AA133" s="232">
        <f t="shared" si="4"/>
        <v>0</v>
      </c>
      <c r="AB133" s="232">
        <f t="shared" si="5"/>
        <v>0</v>
      </c>
    </row>
    <row r="134" spans="27:28" hidden="1">
      <c r="AA134" s="232">
        <f t="shared" si="4"/>
        <v>0</v>
      </c>
      <c r="AB134" s="232">
        <f t="shared" si="5"/>
        <v>0</v>
      </c>
    </row>
    <row r="135" spans="27:28" hidden="1">
      <c r="AA135" s="232">
        <f t="shared" si="4"/>
        <v>0</v>
      </c>
      <c r="AB135" s="232">
        <f t="shared" si="5"/>
        <v>0</v>
      </c>
    </row>
    <row r="136" spans="27:28" hidden="1">
      <c r="AA136" s="232">
        <f t="shared" si="4"/>
        <v>0</v>
      </c>
      <c r="AB136" s="232">
        <f t="shared" si="5"/>
        <v>0</v>
      </c>
    </row>
    <row r="137" spans="27:28" hidden="1">
      <c r="AA137" s="232">
        <f t="shared" si="4"/>
        <v>0</v>
      </c>
      <c r="AB137" s="232">
        <f t="shared" si="5"/>
        <v>0</v>
      </c>
    </row>
    <row r="138" spans="27:28" hidden="1">
      <c r="AA138" s="232">
        <f t="shared" si="4"/>
        <v>0</v>
      </c>
      <c r="AB138" s="232">
        <f t="shared" si="5"/>
        <v>0</v>
      </c>
    </row>
    <row r="139" spans="27:28" hidden="1">
      <c r="AA139" s="232">
        <f t="shared" si="4"/>
        <v>0</v>
      </c>
      <c r="AB139" s="232">
        <f t="shared" si="5"/>
        <v>0</v>
      </c>
    </row>
    <row r="140" spans="27:28" hidden="1">
      <c r="AA140" s="232">
        <f t="shared" si="4"/>
        <v>0</v>
      </c>
      <c r="AB140" s="232">
        <f t="shared" si="5"/>
        <v>0</v>
      </c>
    </row>
    <row r="141" spans="27:28" hidden="1">
      <c r="AA141" s="232">
        <f t="shared" si="4"/>
        <v>0</v>
      </c>
      <c r="AB141" s="232">
        <f t="shared" si="5"/>
        <v>0</v>
      </c>
    </row>
    <row r="142" spans="27:28" hidden="1">
      <c r="AA142" s="232">
        <f t="shared" si="4"/>
        <v>0</v>
      </c>
      <c r="AB142" s="232">
        <f t="shared" si="5"/>
        <v>0</v>
      </c>
    </row>
    <row r="143" spans="27:28" hidden="1">
      <c r="AA143" s="232">
        <f t="shared" si="4"/>
        <v>0</v>
      </c>
      <c r="AB143" s="232">
        <f t="shared" si="5"/>
        <v>0</v>
      </c>
    </row>
    <row r="144" spans="27:28" hidden="1">
      <c r="AA144" s="232">
        <f t="shared" si="4"/>
        <v>0</v>
      </c>
      <c r="AB144" s="232">
        <f t="shared" si="5"/>
        <v>0</v>
      </c>
    </row>
    <row r="145" spans="27:28" hidden="1">
      <c r="AA145" s="232">
        <f t="shared" si="4"/>
        <v>0</v>
      </c>
      <c r="AB145" s="232">
        <f t="shared" si="5"/>
        <v>0</v>
      </c>
    </row>
    <row r="146" spans="27:28" hidden="1">
      <c r="AA146" s="232">
        <f t="shared" si="4"/>
        <v>0</v>
      </c>
      <c r="AB146" s="232">
        <f t="shared" si="5"/>
        <v>0</v>
      </c>
    </row>
    <row r="147" spans="27:28" hidden="1">
      <c r="AA147" s="232">
        <f t="shared" si="4"/>
        <v>0</v>
      </c>
      <c r="AB147" s="232">
        <f t="shared" si="5"/>
        <v>0</v>
      </c>
    </row>
    <row r="148" spans="27:28" hidden="1">
      <c r="AA148" s="232">
        <f t="shared" si="4"/>
        <v>0</v>
      </c>
      <c r="AB148" s="232">
        <f t="shared" si="5"/>
        <v>0</v>
      </c>
    </row>
    <row r="149" spans="27:28" hidden="1">
      <c r="AA149" s="232">
        <f t="shared" si="4"/>
        <v>0</v>
      </c>
      <c r="AB149" s="232">
        <f t="shared" si="5"/>
        <v>0</v>
      </c>
    </row>
    <row r="150" spans="27:28" hidden="1">
      <c r="AA150" s="232">
        <f t="shared" si="4"/>
        <v>0</v>
      </c>
      <c r="AB150" s="232">
        <f t="shared" si="5"/>
        <v>0</v>
      </c>
    </row>
    <row r="151" spans="27:28" hidden="1">
      <c r="AA151" s="232">
        <f t="shared" si="4"/>
        <v>0</v>
      </c>
      <c r="AB151" s="232">
        <f t="shared" si="5"/>
        <v>0</v>
      </c>
    </row>
    <row r="152" spans="27:28" hidden="1">
      <c r="AA152" s="232">
        <f t="shared" si="4"/>
        <v>0</v>
      </c>
      <c r="AB152" s="232">
        <f t="shared" si="5"/>
        <v>0</v>
      </c>
    </row>
    <row r="153" spans="27:28" hidden="1">
      <c r="AA153" s="232">
        <f t="shared" si="4"/>
        <v>0</v>
      </c>
      <c r="AB153" s="232">
        <f t="shared" si="5"/>
        <v>0</v>
      </c>
    </row>
    <row r="154" spans="27:28" hidden="1">
      <c r="AA154" s="232">
        <f t="shared" si="4"/>
        <v>0</v>
      </c>
      <c r="AB154" s="232">
        <f t="shared" si="5"/>
        <v>0</v>
      </c>
    </row>
    <row r="155" spans="27:28" hidden="1">
      <c r="AA155" s="232">
        <f t="shared" si="4"/>
        <v>0</v>
      </c>
      <c r="AB155" s="232">
        <f t="shared" si="5"/>
        <v>0</v>
      </c>
    </row>
    <row r="156" spans="27:28" hidden="1">
      <c r="AA156" s="232">
        <f t="shared" si="4"/>
        <v>0</v>
      </c>
      <c r="AB156" s="232">
        <f t="shared" si="5"/>
        <v>0</v>
      </c>
    </row>
    <row r="157" spans="27:28" hidden="1">
      <c r="AA157" s="232">
        <f t="shared" si="4"/>
        <v>0</v>
      </c>
      <c r="AB157" s="232">
        <f t="shared" si="5"/>
        <v>0</v>
      </c>
    </row>
    <row r="158" spans="27:28" hidden="1">
      <c r="AA158" s="232">
        <f t="shared" si="4"/>
        <v>0</v>
      </c>
      <c r="AB158" s="232">
        <f t="shared" si="5"/>
        <v>0</v>
      </c>
    </row>
    <row r="159" spans="27:28" hidden="1">
      <c r="AA159" s="232">
        <f t="shared" si="4"/>
        <v>0</v>
      </c>
      <c r="AB159" s="232">
        <f t="shared" si="5"/>
        <v>0</v>
      </c>
    </row>
    <row r="160" spans="27:28" hidden="1">
      <c r="AA160" s="232">
        <f t="shared" si="4"/>
        <v>0</v>
      </c>
      <c r="AB160" s="232">
        <f t="shared" si="5"/>
        <v>0</v>
      </c>
    </row>
    <row r="161" spans="27:28" hidden="1">
      <c r="AA161" s="232">
        <f t="shared" si="4"/>
        <v>0</v>
      </c>
      <c r="AB161" s="232">
        <f t="shared" si="5"/>
        <v>0</v>
      </c>
    </row>
    <row r="162" spans="27:28" hidden="1">
      <c r="AA162" s="232">
        <f t="shared" si="4"/>
        <v>0</v>
      </c>
      <c r="AB162" s="232">
        <f t="shared" si="5"/>
        <v>0</v>
      </c>
    </row>
    <row r="163" spans="27:28" hidden="1">
      <c r="AA163" s="232">
        <f t="shared" si="4"/>
        <v>0</v>
      </c>
      <c r="AB163" s="232">
        <f t="shared" si="5"/>
        <v>0</v>
      </c>
    </row>
    <row r="164" spans="27:28" hidden="1">
      <c r="AA164" s="232">
        <f t="shared" si="4"/>
        <v>0</v>
      </c>
      <c r="AB164" s="232">
        <f t="shared" si="5"/>
        <v>0</v>
      </c>
    </row>
    <row r="165" spans="27:28" hidden="1">
      <c r="AA165" s="232">
        <f t="shared" si="4"/>
        <v>0</v>
      </c>
      <c r="AB165" s="232">
        <f t="shared" si="5"/>
        <v>0</v>
      </c>
    </row>
    <row r="166" spans="27:28" hidden="1">
      <c r="AA166" s="232">
        <f t="shared" si="4"/>
        <v>0</v>
      </c>
      <c r="AB166" s="232">
        <f t="shared" si="5"/>
        <v>0</v>
      </c>
    </row>
    <row r="167" spans="27:28" hidden="1">
      <c r="AA167" s="232">
        <f t="shared" si="4"/>
        <v>0</v>
      </c>
      <c r="AB167" s="232">
        <f t="shared" si="5"/>
        <v>0</v>
      </c>
    </row>
    <row r="168" spans="27:28" hidden="1">
      <c r="AA168" s="232">
        <f t="shared" si="4"/>
        <v>0</v>
      </c>
      <c r="AB168" s="232">
        <f t="shared" si="5"/>
        <v>0</v>
      </c>
    </row>
    <row r="169" spans="27:28" hidden="1">
      <c r="AA169" s="232">
        <f t="shared" si="4"/>
        <v>0</v>
      </c>
      <c r="AB169" s="232">
        <f t="shared" si="5"/>
        <v>0</v>
      </c>
    </row>
    <row r="170" spans="27:28" hidden="1">
      <c r="AA170" s="232">
        <f t="shared" si="4"/>
        <v>0</v>
      </c>
      <c r="AB170" s="232">
        <f t="shared" si="5"/>
        <v>0</v>
      </c>
    </row>
    <row r="171" spans="27:28" hidden="1">
      <c r="AA171" s="232">
        <f t="shared" si="4"/>
        <v>0</v>
      </c>
      <c r="AB171" s="232">
        <f t="shared" si="5"/>
        <v>0</v>
      </c>
    </row>
    <row r="172" spans="27:28" hidden="1">
      <c r="AA172" s="232">
        <f t="shared" si="4"/>
        <v>0</v>
      </c>
      <c r="AB172" s="232">
        <f t="shared" si="5"/>
        <v>0</v>
      </c>
    </row>
    <row r="173" spans="27:28" hidden="1">
      <c r="AA173" s="232">
        <f t="shared" si="4"/>
        <v>0</v>
      </c>
      <c r="AB173" s="232">
        <f t="shared" si="5"/>
        <v>0</v>
      </c>
    </row>
    <row r="174" spans="27:28" hidden="1">
      <c r="AA174" s="232">
        <f t="shared" si="4"/>
        <v>0</v>
      </c>
      <c r="AB174" s="232">
        <f t="shared" si="5"/>
        <v>0</v>
      </c>
    </row>
    <row r="175" spans="27:28" hidden="1">
      <c r="AA175" s="232">
        <f t="shared" si="4"/>
        <v>0</v>
      </c>
      <c r="AB175" s="232">
        <f t="shared" si="5"/>
        <v>0</v>
      </c>
    </row>
    <row r="176" spans="27:28" hidden="1">
      <c r="AA176" s="232">
        <f t="shared" si="4"/>
        <v>0</v>
      </c>
      <c r="AB176" s="232">
        <f t="shared" si="5"/>
        <v>0</v>
      </c>
    </row>
    <row r="177" spans="27:28" hidden="1">
      <c r="AA177" s="232">
        <f t="shared" si="4"/>
        <v>0</v>
      </c>
      <c r="AB177" s="232">
        <f t="shared" si="5"/>
        <v>0</v>
      </c>
    </row>
    <row r="178" spans="27:28" hidden="1">
      <c r="AA178" s="232">
        <f t="shared" si="4"/>
        <v>0</v>
      </c>
      <c r="AB178" s="232">
        <f t="shared" si="5"/>
        <v>0</v>
      </c>
    </row>
    <row r="179" spans="27:28" hidden="1">
      <c r="AA179" s="232">
        <f t="shared" si="4"/>
        <v>0</v>
      </c>
      <c r="AB179" s="232">
        <f t="shared" si="5"/>
        <v>0</v>
      </c>
    </row>
    <row r="180" spans="27:28" hidden="1">
      <c r="AA180" s="232">
        <f t="shared" si="4"/>
        <v>0</v>
      </c>
      <c r="AB180" s="232">
        <f t="shared" si="5"/>
        <v>0</v>
      </c>
    </row>
    <row r="181" spans="27:28" hidden="1">
      <c r="AA181" s="232">
        <f t="shared" si="4"/>
        <v>0</v>
      </c>
      <c r="AB181" s="232">
        <f t="shared" si="5"/>
        <v>0</v>
      </c>
    </row>
    <row r="182" spans="27:28" hidden="1">
      <c r="AA182" s="232">
        <f t="shared" si="4"/>
        <v>0</v>
      </c>
      <c r="AB182" s="232">
        <f t="shared" si="5"/>
        <v>0</v>
      </c>
    </row>
    <row r="183" spans="27:28" hidden="1">
      <c r="AA183" s="232">
        <f t="shared" si="4"/>
        <v>0</v>
      </c>
      <c r="AB183" s="232">
        <f t="shared" si="5"/>
        <v>0</v>
      </c>
    </row>
    <row r="184" spans="27:28" hidden="1">
      <c r="AA184" s="232">
        <f t="shared" si="4"/>
        <v>0</v>
      </c>
      <c r="AB184" s="232">
        <f t="shared" si="5"/>
        <v>0</v>
      </c>
    </row>
    <row r="185" spans="27:28" hidden="1">
      <c r="AA185" s="232">
        <f t="shared" si="4"/>
        <v>0</v>
      </c>
      <c r="AB185" s="232">
        <f t="shared" si="5"/>
        <v>0</v>
      </c>
    </row>
    <row r="186" spans="27:28" hidden="1">
      <c r="AA186" s="232">
        <f t="shared" si="4"/>
        <v>0</v>
      </c>
      <c r="AB186" s="232">
        <f t="shared" si="5"/>
        <v>0</v>
      </c>
    </row>
    <row r="187" spans="27:28" hidden="1">
      <c r="AA187" s="232">
        <f t="shared" si="4"/>
        <v>0</v>
      </c>
      <c r="AB187" s="232">
        <f t="shared" si="5"/>
        <v>0</v>
      </c>
    </row>
    <row r="188" spans="27:28" hidden="1">
      <c r="AA188" s="232">
        <f t="shared" si="4"/>
        <v>0</v>
      </c>
      <c r="AB188" s="232">
        <f t="shared" si="5"/>
        <v>0</v>
      </c>
    </row>
    <row r="189" spans="27:28" hidden="1">
      <c r="AA189" s="232">
        <f t="shared" si="4"/>
        <v>0</v>
      </c>
      <c r="AB189" s="232">
        <f t="shared" si="5"/>
        <v>0</v>
      </c>
    </row>
    <row r="190" spans="27:28" hidden="1">
      <c r="AA190" s="232">
        <f t="shared" si="4"/>
        <v>0</v>
      </c>
      <c r="AB190" s="232">
        <f t="shared" si="5"/>
        <v>0</v>
      </c>
    </row>
    <row r="191" spans="27:28" hidden="1">
      <c r="AA191" s="232">
        <f t="shared" si="4"/>
        <v>0</v>
      </c>
      <c r="AB191" s="232">
        <f t="shared" si="5"/>
        <v>0</v>
      </c>
    </row>
    <row r="192" spans="27:28" hidden="1">
      <c r="AA192" s="232">
        <f t="shared" si="4"/>
        <v>0</v>
      </c>
      <c r="AB192" s="232">
        <f t="shared" si="5"/>
        <v>0</v>
      </c>
    </row>
    <row r="193" spans="27:28" hidden="1">
      <c r="AA193" s="232">
        <f t="shared" si="4"/>
        <v>0</v>
      </c>
      <c r="AB193" s="232">
        <f t="shared" si="5"/>
        <v>0</v>
      </c>
    </row>
    <row r="194" spans="27:28" hidden="1">
      <c r="AA194" s="232">
        <f t="shared" si="4"/>
        <v>0</v>
      </c>
      <c r="AB194" s="232">
        <f t="shared" si="5"/>
        <v>0</v>
      </c>
    </row>
    <row r="195" spans="27:28" hidden="1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 hidden="1">
      <c r="AA196" s="232">
        <f t="shared" si="6"/>
        <v>0</v>
      </c>
      <c r="AB196" s="232">
        <f t="shared" si="7"/>
        <v>0</v>
      </c>
    </row>
    <row r="197" spans="27:28" hidden="1">
      <c r="AA197" s="232">
        <f t="shared" si="6"/>
        <v>0</v>
      </c>
      <c r="AB197" s="232">
        <f t="shared" si="7"/>
        <v>0</v>
      </c>
    </row>
    <row r="198" spans="27:28" hidden="1">
      <c r="AA198" s="232">
        <f t="shared" si="6"/>
        <v>0</v>
      </c>
      <c r="AB198" s="232">
        <f t="shared" si="7"/>
        <v>0</v>
      </c>
    </row>
    <row r="199" spans="27:28" hidden="1">
      <c r="AA199" s="232">
        <f t="shared" si="6"/>
        <v>0</v>
      </c>
      <c r="AB199" s="232">
        <f t="shared" si="7"/>
        <v>0</v>
      </c>
    </row>
    <row r="200" spans="27:28" hidden="1">
      <c r="AA200" s="232">
        <f t="shared" si="6"/>
        <v>0</v>
      </c>
      <c r="AB200" s="232">
        <f t="shared" si="7"/>
        <v>0</v>
      </c>
    </row>
    <row r="201" spans="27:28" hidden="1">
      <c r="AA201" s="232">
        <f t="shared" si="6"/>
        <v>0</v>
      </c>
      <c r="AB201" s="232">
        <f t="shared" si="7"/>
        <v>0</v>
      </c>
    </row>
    <row r="202" spans="27:28" hidden="1">
      <c r="AA202" s="232">
        <f t="shared" si="6"/>
        <v>0</v>
      </c>
      <c r="AB202" s="232">
        <f t="shared" si="7"/>
        <v>0</v>
      </c>
    </row>
    <row r="203" spans="27:28" hidden="1">
      <c r="AA203" s="232">
        <f t="shared" si="6"/>
        <v>0</v>
      </c>
      <c r="AB203" s="232">
        <f t="shared" si="7"/>
        <v>0</v>
      </c>
    </row>
    <row r="204" spans="27:28" hidden="1">
      <c r="AA204" s="232">
        <f t="shared" si="6"/>
        <v>0</v>
      </c>
      <c r="AB204" s="232">
        <f t="shared" si="7"/>
        <v>0</v>
      </c>
    </row>
    <row r="205" spans="27:28" hidden="1">
      <c r="AA205" s="232">
        <f t="shared" si="6"/>
        <v>0</v>
      </c>
      <c r="AB205" s="232">
        <f t="shared" si="7"/>
        <v>0</v>
      </c>
    </row>
    <row r="206" spans="27:28" hidden="1">
      <c r="AA206" s="232">
        <f t="shared" si="6"/>
        <v>0</v>
      </c>
      <c r="AB206" s="232">
        <f t="shared" si="7"/>
        <v>0</v>
      </c>
    </row>
    <row r="207" spans="27:28" hidden="1">
      <c r="AA207" s="232">
        <f t="shared" si="6"/>
        <v>0</v>
      </c>
      <c r="AB207" s="232">
        <f t="shared" si="7"/>
        <v>0</v>
      </c>
    </row>
    <row r="208" spans="27:28" hidden="1">
      <c r="AA208" s="232">
        <f t="shared" si="6"/>
        <v>0</v>
      </c>
      <c r="AB208" s="232">
        <f t="shared" si="7"/>
        <v>0</v>
      </c>
    </row>
    <row r="209" spans="27:28" hidden="1">
      <c r="AA209" s="232">
        <f t="shared" si="6"/>
        <v>0</v>
      </c>
      <c r="AB209" s="232">
        <f t="shared" si="7"/>
        <v>0</v>
      </c>
    </row>
    <row r="210" spans="27:28" hidden="1">
      <c r="AA210" s="232">
        <f t="shared" si="6"/>
        <v>0</v>
      </c>
      <c r="AB210" s="232">
        <f t="shared" si="7"/>
        <v>0</v>
      </c>
    </row>
    <row r="211" spans="27:28" hidden="1">
      <c r="AA211" s="232">
        <f t="shared" si="6"/>
        <v>0</v>
      </c>
      <c r="AB211" s="232">
        <f t="shared" si="7"/>
        <v>0</v>
      </c>
    </row>
    <row r="212" spans="27:28" hidden="1">
      <c r="AA212" s="232">
        <f t="shared" si="6"/>
        <v>0</v>
      </c>
      <c r="AB212" s="232">
        <f t="shared" si="7"/>
        <v>0</v>
      </c>
    </row>
    <row r="213" spans="27:28" hidden="1">
      <c r="AA213" s="232">
        <f t="shared" si="6"/>
        <v>0</v>
      </c>
      <c r="AB213" s="232">
        <f t="shared" si="7"/>
        <v>0</v>
      </c>
    </row>
    <row r="214" spans="27:28" hidden="1">
      <c r="AA214" s="232">
        <f t="shared" si="6"/>
        <v>0</v>
      </c>
      <c r="AB214" s="232">
        <f t="shared" si="7"/>
        <v>0</v>
      </c>
    </row>
    <row r="215" spans="27:28" hidden="1">
      <c r="AA215" s="232">
        <f t="shared" si="6"/>
        <v>0</v>
      </c>
      <c r="AB215" s="232">
        <f t="shared" si="7"/>
        <v>0</v>
      </c>
    </row>
    <row r="216" spans="27:28" hidden="1">
      <c r="AA216" s="232">
        <f t="shared" si="6"/>
        <v>0</v>
      </c>
      <c r="AB216" s="232">
        <f t="shared" si="7"/>
        <v>0</v>
      </c>
    </row>
    <row r="217" spans="27:28" hidden="1">
      <c r="AA217" s="232">
        <f t="shared" si="6"/>
        <v>0</v>
      </c>
      <c r="AB217" s="232">
        <f t="shared" si="7"/>
        <v>0</v>
      </c>
    </row>
    <row r="218" spans="27:28" hidden="1">
      <c r="AA218" s="232">
        <f t="shared" si="6"/>
        <v>0</v>
      </c>
      <c r="AB218" s="232">
        <f t="shared" si="7"/>
        <v>0</v>
      </c>
    </row>
    <row r="219" spans="27:28" hidden="1">
      <c r="AA219" s="232">
        <f t="shared" si="6"/>
        <v>0</v>
      </c>
      <c r="AB219" s="232">
        <f t="shared" si="7"/>
        <v>0</v>
      </c>
    </row>
    <row r="220" spans="27:28" hidden="1">
      <c r="AA220" s="232">
        <f t="shared" si="6"/>
        <v>0</v>
      </c>
      <c r="AB220" s="232">
        <f t="shared" si="7"/>
        <v>0</v>
      </c>
    </row>
    <row r="221" spans="27:28" hidden="1">
      <c r="AA221" s="232">
        <f t="shared" si="6"/>
        <v>0</v>
      </c>
      <c r="AB221" s="232">
        <f t="shared" si="7"/>
        <v>0</v>
      </c>
    </row>
    <row r="222" spans="27:28" hidden="1">
      <c r="AA222" s="232">
        <f t="shared" si="6"/>
        <v>0</v>
      </c>
      <c r="AB222" s="232">
        <f t="shared" si="7"/>
        <v>0</v>
      </c>
    </row>
    <row r="223" spans="27:28" hidden="1">
      <c r="AA223" s="232">
        <f t="shared" si="6"/>
        <v>0</v>
      </c>
      <c r="AB223" s="232">
        <f t="shared" si="7"/>
        <v>0</v>
      </c>
    </row>
    <row r="224" spans="27:28" hidden="1">
      <c r="AA224" s="232">
        <f t="shared" si="6"/>
        <v>0</v>
      </c>
      <c r="AB224" s="232">
        <f t="shared" si="7"/>
        <v>0</v>
      </c>
    </row>
    <row r="225" spans="27:28" hidden="1">
      <c r="AA225" s="232">
        <f t="shared" si="6"/>
        <v>0</v>
      </c>
      <c r="AB225" s="232">
        <f t="shared" si="7"/>
        <v>0</v>
      </c>
    </row>
    <row r="226" spans="27:28" hidden="1">
      <c r="AA226" s="232">
        <f t="shared" si="6"/>
        <v>0</v>
      </c>
      <c r="AB226" s="232">
        <f t="shared" si="7"/>
        <v>0</v>
      </c>
    </row>
    <row r="227" spans="27:28" hidden="1">
      <c r="AA227" s="232">
        <f t="shared" si="6"/>
        <v>0</v>
      </c>
      <c r="AB227" s="232">
        <f t="shared" si="7"/>
        <v>0</v>
      </c>
    </row>
    <row r="228" spans="27:28" hidden="1">
      <c r="AA228" s="232">
        <f t="shared" si="6"/>
        <v>0</v>
      </c>
      <c r="AB228" s="232">
        <f t="shared" si="7"/>
        <v>0</v>
      </c>
    </row>
    <row r="229" spans="27:28" hidden="1">
      <c r="AA229" s="232">
        <f t="shared" si="6"/>
        <v>0</v>
      </c>
      <c r="AB229" s="232">
        <f t="shared" si="7"/>
        <v>0</v>
      </c>
    </row>
    <row r="230" spans="27:28" hidden="1">
      <c r="AA230" s="232">
        <f t="shared" si="6"/>
        <v>0</v>
      </c>
      <c r="AB230" s="232">
        <f t="shared" si="7"/>
        <v>0</v>
      </c>
    </row>
    <row r="231" spans="27:28" hidden="1">
      <c r="AA231" s="232">
        <f t="shared" si="6"/>
        <v>0</v>
      </c>
      <c r="AB231" s="232">
        <f t="shared" si="7"/>
        <v>0</v>
      </c>
    </row>
    <row r="232" spans="27:28" hidden="1">
      <c r="AA232" s="232">
        <f t="shared" si="6"/>
        <v>0</v>
      </c>
      <c r="AB232" s="232">
        <f t="shared" si="7"/>
        <v>0</v>
      </c>
    </row>
    <row r="233" spans="27:28" hidden="1">
      <c r="AA233" s="232">
        <f t="shared" si="6"/>
        <v>0</v>
      </c>
      <c r="AB233" s="232">
        <f t="shared" si="7"/>
        <v>0</v>
      </c>
    </row>
    <row r="234" spans="27:28" hidden="1">
      <c r="AA234" s="232">
        <f t="shared" si="6"/>
        <v>0</v>
      </c>
      <c r="AB234" s="232">
        <f t="shared" si="7"/>
        <v>0</v>
      </c>
    </row>
    <row r="235" spans="27:28" hidden="1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21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5373</v>
      </c>
      <c r="B2" t="s">
        <v>2344</v>
      </c>
      <c r="C2">
        <v>5697</v>
      </c>
      <c r="D2" t="s">
        <v>2342</v>
      </c>
      <c r="E2" t="s">
        <v>2036</v>
      </c>
      <c r="F2">
        <v>202109</v>
      </c>
      <c r="G2" t="s">
        <v>190</v>
      </c>
      <c r="H2">
        <v>410155</v>
      </c>
      <c r="J2" s="723">
        <f>CAPA!K12</f>
        <v>5373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5373</v>
      </c>
      <c r="P2" t="s">
        <v>2344</v>
      </c>
      <c r="Q2">
        <v>5697</v>
      </c>
      <c r="R2" t="s">
        <v>2342</v>
      </c>
      <c r="S2" t="s">
        <v>2036</v>
      </c>
      <c r="T2">
        <v>202110</v>
      </c>
      <c r="U2" t="s">
        <v>190</v>
      </c>
      <c r="V2">
        <v>457752</v>
      </c>
      <c r="X2">
        <v>5697</v>
      </c>
      <c r="Y2" t="s">
        <v>2342</v>
      </c>
      <c r="Z2" t="s">
        <v>2036</v>
      </c>
      <c r="AB2">
        <v>5697</v>
      </c>
      <c r="AC2" t="s">
        <v>2342</v>
      </c>
      <c r="AD2" t="s">
        <v>2036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5373</v>
      </c>
      <c r="B3" t="s">
        <v>2344</v>
      </c>
      <c r="C3">
        <v>5697</v>
      </c>
      <c r="D3" t="s">
        <v>2342</v>
      </c>
      <c r="E3" t="s">
        <v>2036</v>
      </c>
      <c r="F3">
        <v>202109</v>
      </c>
      <c r="G3" t="s">
        <v>191</v>
      </c>
      <c r="H3">
        <v>57207</v>
      </c>
      <c r="J3" s="723">
        <f>J2</f>
        <v>5373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5373</v>
      </c>
      <c r="P3" t="s">
        <v>2344</v>
      </c>
      <c r="Q3">
        <v>5697</v>
      </c>
      <c r="R3" t="s">
        <v>2342</v>
      </c>
      <c r="S3" t="s">
        <v>2036</v>
      </c>
      <c r="T3">
        <v>202110</v>
      </c>
      <c r="U3" t="s">
        <v>191</v>
      </c>
      <c r="V3">
        <v>57921</v>
      </c>
      <c r="AB3">
        <v>5697</v>
      </c>
      <c r="AC3" t="s">
        <v>2342</v>
      </c>
      <c r="AD3" t="s">
        <v>2036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5373</v>
      </c>
      <c r="B4" t="s">
        <v>2344</v>
      </c>
      <c r="C4">
        <v>5697</v>
      </c>
      <c r="D4" t="s">
        <v>2342</v>
      </c>
      <c r="E4" t="s">
        <v>2036</v>
      </c>
      <c r="F4">
        <v>202109</v>
      </c>
      <c r="G4" t="s">
        <v>176</v>
      </c>
      <c r="H4">
        <v>0</v>
      </c>
      <c r="J4" s="725">
        <f>J3</f>
        <v>5373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5373</v>
      </c>
      <c r="P4" t="s">
        <v>2344</v>
      </c>
      <c r="Q4">
        <v>5697</v>
      </c>
      <c r="R4" t="s">
        <v>2342</v>
      </c>
      <c r="S4" t="s">
        <v>2036</v>
      </c>
      <c r="T4">
        <v>202110</v>
      </c>
      <c r="U4" t="s">
        <v>178</v>
      </c>
      <c r="V4">
        <v>1850</v>
      </c>
      <c r="AB4">
        <v>5697</v>
      </c>
      <c r="AC4" t="s">
        <v>2342</v>
      </c>
      <c r="AD4" t="s">
        <v>2036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5373</v>
      </c>
      <c r="B5" t="s">
        <v>2344</v>
      </c>
      <c r="C5">
        <v>5697</v>
      </c>
      <c r="D5" t="s">
        <v>2342</v>
      </c>
      <c r="E5" t="s">
        <v>2036</v>
      </c>
      <c r="F5">
        <v>202109</v>
      </c>
      <c r="G5" t="s">
        <v>178</v>
      </c>
      <c r="H5">
        <v>1850</v>
      </c>
      <c r="J5" s="725">
        <f>J4</f>
        <v>5373</v>
      </c>
      <c r="K5" s="900" t="s">
        <v>183</v>
      </c>
      <c r="L5" s="724" t="str">
        <f>L3</f>
        <v>&gt;=202109</v>
      </c>
      <c r="M5" s="724" t="str">
        <f>M3</f>
        <v>&lt;=202208</v>
      </c>
      <c r="O5">
        <v>5373</v>
      </c>
      <c r="P5" t="s">
        <v>2344</v>
      </c>
      <c r="Q5">
        <v>5697</v>
      </c>
      <c r="R5" t="s">
        <v>2342</v>
      </c>
      <c r="S5" t="s">
        <v>2036</v>
      </c>
      <c r="T5">
        <v>202110</v>
      </c>
      <c r="U5" t="s">
        <v>180</v>
      </c>
      <c r="V5">
        <v>1650</v>
      </c>
      <c r="AB5">
        <v>5697</v>
      </c>
      <c r="AC5" t="s">
        <v>2342</v>
      </c>
      <c r="AD5" t="s">
        <v>2036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5373</v>
      </c>
      <c r="B6" t="s">
        <v>2344</v>
      </c>
      <c r="C6">
        <v>5697</v>
      </c>
      <c r="D6" t="s">
        <v>2342</v>
      </c>
      <c r="E6" t="s">
        <v>2036</v>
      </c>
      <c r="F6">
        <v>202109</v>
      </c>
      <c r="G6" t="s">
        <v>180</v>
      </c>
      <c r="H6">
        <v>1650</v>
      </c>
      <c r="J6" t="s">
        <v>185</v>
      </c>
      <c r="K6">
        <f>(YEAR(SAS_RA0_DataInicio)*100+MONTH(SAS_RA0_DataInicio))</f>
        <v>202109</v>
      </c>
      <c r="O6">
        <v>5373</v>
      </c>
      <c r="P6" t="s">
        <v>2344</v>
      </c>
      <c r="Q6">
        <v>5697</v>
      </c>
      <c r="R6" t="s">
        <v>2342</v>
      </c>
      <c r="S6" t="s">
        <v>2036</v>
      </c>
      <c r="T6">
        <v>202110</v>
      </c>
      <c r="U6" t="s">
        <v>182</v>
      </c>
      <c r="V6">
        <v>457752</v>
      </c>
      <c r="AB6">
        <v>5697</v>
      </c>
      <c r="AC6" t="s">
        <v>2342</v>
      </c>
      <c r="AD6" t="s">
        <v>2036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5373</v>
      </c>
      <c r="B7" t="s">
        <v>2344</v>
      </c>
      <c r="C7">
        <v>5697</v>
      </c>
      <c r="D7" t="s">
        <v>2342</v>
      </c>
      <c r="E7" t="s">
        <v>2036</v>
      </c>
      <c r="F7">
        <v>202109</v>
      </c>
      <c r="G7" t="s">
        <v>182</v>
      </c>
      <c r="H7">
        <v>410155</v>
      </c>
      <c r="J7" t="s">
        <v>187</v>
      </c>
      <c r="K7">
        <f>YEAR(SAS_RA0_DataFim)*100+MONTH(SAS_RA0_DataFim)</f>
        <v>202208</v>
      </c>
      <c r="O7">
        <v>5373</v>
      </c>
      <c r="P7" t="s">
        <v>2344</v>
      </c>
      <c r="Q7">
        <v>5697</v>
      </c>
      <c r="R7" t="s">
        <v>2342</v>
      </c>
      <c r="S7" t="s">
        <v>2036</v>
      </c>
      <c r="T7">
        <v>202110</v>
      </c>
      <c r="U7" t="s">
        <v>184</v>
      </c>
      <c r="V7">
        <v>57921</v>
      </c>
      <c r="AI7">
        <f t="shared" si="0"/>
        <v>0</v>
      </c>
      <c r="AJ7" t="str">
        <f t="shared" si="1"/>
        <v>Nada</v>
      </c>
    </row>
    <row r="8" spans="1:36">
      <c r="A8">
        <v>5373</v>
      </c>
      <c r="B8" t="s">
        <v>2344</v>
      </c>
      <c r="C8">
        <v>5697</v>
      </c>
      <c r="D8" t="s">
        <v>2342</v>
      </c>
      <c r="E8" t="s">
        <v>2036</v>
      </c>
      <c r="F8">
        <v>202109</v>
      </c>
      <c r="G8" t="s">
        <v>184</v>
      </c>
      <c r="H8">
        <v>57207</v>
      </c>
      <c r="J8" t="s">
        <v>188</v>
      </c>
      <c r="K8" s="631">
        <f>MAX(AI:AI)</f>
        <v>202207</v>
      </c>
      <c r="O8">
        <v>5373</v>
      </c>
      <c r="P8" t="s">
        <v>2344</v>
      </c>
      <c r="Q8">
        <v>5697</v>
      </c>
      <c r="R8" t="s">
        <v>2342</v>
      </c>
      <c r="S8" t="s">
        <v>2036</v>
      </c>
      <c r="T8">
        <v>202110</v>
      </c>
      <c r="U8" t="s">
        <v>186</v>
      </c>
      <c r="V8">
        <v>0</v>
      </c>
      <c r="AI8">
        <f t="shared" si="0"/>
        <v>0</v>
      </c>
      <c r="AJ8" t="str">
        <f t="shared" si="1"/>
        <v>Nada</v>
      </c>
    </row>
    <row r="9" spans="1:36">
      <c r="A9">
        <v>5373</v>
      </c>
      <c r="B9" t="s">
        <v>2344</v>
      </c>
      <c r="C9">
        <v>5697</v>
      </c>
      <c r="D9" t="s">
        <v>2342</v>
      </c>
      <c r="E9" t="s">
        <v>2036</v>
      </c>
      <c r="F9">
        <v>202109</v>
      </c>
      <c r="G9" t="s">
        <v>192</v>
      </c>
      <c r="H9">
        <v>0</v>
      </c>
      <c r="J9" t="s">
        <v>189</v>
      </c>
      <c r="K9" s="631">
        <f>MAX(AJ:AJ)</f>
        <v>1</v>
      </c>
      <c r="O9">
        <v>5373</v>
      </c>
      <c r="P9" t="s">
        <v>2344</v>
      </c>
      <c r="Q9">
        <v>5697</v>
      </c>
      <c r="R9" t="s">
        <v>2342</v>
      </c>
      <c r="S9" t="s">
        <v>2036</v>
      </c>
      <c r="T9">
        <v>202110</v>
      </c>
      <c r="U9" t="s">
        <v>190</v>
      </c>
      <c r="V9">
        <v>922776</v>
      </c>
    </row>
    <row r="10" spans="1:36">
      <c r="A10">
        <v>5373</v>
      </c>
      <c r="B10" t="s">
        <v>2344</v>
      </c>
      <c r="C10">
        <v>5697</v>
      </c>
      <c r="D10" t="s">
        <v>2342</v>
      </c>
      <c r="E10" t="s">
        <v>2036</v>
      </c>
      <c r="F10">
        <v>202109</v>
      </c>
      <c r="G10" t="s">
        <v>2170</v>
      </c>
      <c r="H10">
        <v>5142.3900000000003</v>
      </c>
      <c r="O10">
        <v>5373</v>
      </c>
      <c r="P10" t="s">
        <v>2344</v>
      </c>
      <c r="Q10">
        <v>5697</v>
      </c>
      <c r="R10" t="s">
        <v>2342</v>
      </c>
      <c r="S10" t="s">
        <v>2036</v>
      </c>
      <c r="T10">
        <v>202110</v>
      </c>
      <c r="U10" t="s">
        <v>191</v>
      </c>
      <c r="V10">
        <v>81524</v>
      </c>
    </row>
    <row r="11" spans="1:36">
      <c r="A11">
        <v>5373</v>
      </c>
      <c r="B11" t="s">
        <v>2344</v>
      </c>
      <c r="C11">
        <v>5697</v>
      </c>
      <c r="D11" t="s">
        <v>2342</v>
      </c>
      <c r="E11" t="s">
        <v>2036</v>
      </c>
      <c r="F11">
        <v>202109</v>
      </c>
      <c r="G11" t="s">
        <v>186</v>
      </c>
      <c r="H11">
        <v>0</v>
      </c>
      <c r="J11" s="779">
        <f>VALUE(A2)</f>
        <v>5373</v>
      </c>
      <c r="O11">
        <v>5373</v>
      </c>
      <c r="P11" t="s">
        <v>2344</v>
      </c>
      <c r="Q11">
        <v>5697</v>
      </c>
      <c r="R11" t="s">
        <v>2342</v>
      </c>
      <c r="S11" t="s">
        <v>2036</v>
      </c>
      <c r="T11">
        <v>202110</v>
      </c>
      <c r="U11" t="s">
        <v>178</v>
      </c>
      <c r="V11">
        <v>2650</v>
      </c>
    </row>
    <row r="12" spans="1:36">
      <c r="A12">
        <v>5373</v>
      </c>
      <c r="B12" t="s">
        <v>2344</v>
      </c>
      <c r="C12">
        <v>5697</v>
      </c>
      <c r="D12" t="s">
        <v>2342</v>
      </c>
      <c r="E12" t="s">
        <v>2036</v>
      </c>
      <c r="F12">
        <v>202109</v>
      </c>
      <c r="G12" t="s">
        <v>2169</v>
      </c>
      <c r="H12">
        <v>264.43</v>
      </c>
      <c r="K12" s="8"/>
      <c r="O12">
        <v>5373</v>
      </c>
      <c r="P12" t="s">
        <v>2344</v>
      </c>
      <c r="Q12">
        <v>5697</v>
      </c>
      <c r="R12" t="s">
        <v>2342</v>
      </c>
      <c r="S12" t="s">
        <v>2036</v>
      </c>
      <c r="T12">
        <v>202110</v>
      </c>
      <c r="U12" t="s">
        <v>180</v>
      </c>
      <c r="V12">
        <v>1850</v>
      </c>
    </row>
    <row r="13" spans="1:36">
      <c r="A13">
        <v>5373</v>
      </c>
      <c r="B13" t="s">
        <v>2344</v>
      </c>
      <c r="C13">
        <v>5697</v>
      </c>
      <c r="D13" t="s">
        <v>2342</v>
      </c>
      <c r="E13" t="s">
        <v>2036</v>
      </c>
      <c r="F13">
        <v>202109</v>
      </c>
      <c r="G13" t="s">
        <v>2166</v>
      </c>
      <c r="H13">
        <v>12.33</v>
      </c>
      <c r="O13">
        <v>5373</v>
      </c>
      <c r="P13" t="s">
        <v>2344</v>
      </c>
      <c r="Q13">
        <v>5697</v>
      </c>
      <c r="R13" t="s">
        <v>2342</v>
      </c>
      <c r="S13" t="s">
        <v>2036</v>
      </c>
      <c r="T13">
        <v>202110</v>
      </c>
      <c r="U13" t="s">
        <v>182</v>
      </c>
      <c r="V13">
        <v>958913</v>
      </c>
    </row>
    <row r="14" spans="1:36">
      <c r="A14">
        <v>5373</v>
      </c>
      <c r="B14" t="s">
        <v>2344</v>
      </c>
      <c r="C14">
        <v>5697</v>
      </c>
      <c r="D14" t="s">
        <v>2342</v>
      </c>
      <c r="E14" t="s">
        <v>2036</v>
      </c>
      <c r="F14">
        <v>202109</v>
      </c>
      <c r="G14" t="s">
        <v>2167</v>
      </c>
      <c r="H14">
        <v>23.94</v>
      </c>
      <c r="O14">
        <v>5373</v>
      </c>
      <c r="P14" t="s">
        <v>2344</v>
      </c>
      <c r="Q14">
        <v>5697</v>
      </c>
      <c r="R14" t="s">
        <v>2342</v>
      </c>
      <c r="S14" t="s">
        <v>2036</v>
      </c>
      <c r="T14">
        <v>202110</v>
      </c>
      <c r="U14" t="s">
        <v>184</v>
      </c>
      <c r="V14">
        <v>81524</v>
      </c>
    </row>
    <row r="15" spans="1:36">
      <c r="A15">
        <v>5373</v>
      </c>
      <c r="B15" t="s">
        <v>2344</v>
      </c>
      <c r="C15">
        <v>5697</v>
      </c>
      <c r="D15" t="s">
        <v>2342</v>
      </c>
      <c r="E15" t="s">
        <v>2036</v>
      </c>
      <c r="F15">
        <v>202109</v>
      </c>
      <c r="G15" t="s">
        <v>2168</v>
      </c>
      <c r="H15">
        <v>10.17</v>
      </c>
      <c r="O15">
        <v>5373</v>
      </c>
      <c r="P15" t="s">
        <v>2344</v>
      </c>
      <c r="Q15">
        <v>5697</v>
      </c>
      <c r="R15" t="s">
        <v>2342</v>
      </c>
      <c r="S15" t="s">
        <v>2036</v>
      </c>
      <c r="T15">
        <v>202110</v>
      </c>
      <c r="U15" t="s">
        <v>186</v>
      </c>
      <c r="V15">
        <v>36137</v>
      </c>
    </row>
    <row r="16" spans="1:36">
      <c r="A16">
        <v>5373</v>
      </c>
      <c r="B16" t="s">
        <v>2344</v>
      </c>
      <c r="C16">
        <v>5697</v>
      </c>
      <c r="D16" t="s">
        <v>2342</v>
      </c>
      <c r="E16" t="s">
        <v>2036</v>
      </c>
      <c r="F16">
        <v>202109</v>
      </c>
      <c r="G16" t="s">
        <v>2171</v>
      </c>
      <c r="H16">
        <v>196274.85</v>
      </c>
      <c r="O16">
        <v>5373</v>
      </c>
      <c r="P16" t="s">
        <v>2344</v>
      </c>
      <c r="Q16">
        <v>5697</v>
      </c>
      <c r="R16" t="s">
        <v>2342</v>
      </c>
      <c r="S16" t="s">
        <v>2036</v>
      </c>
      <c r="T16">
        <v>202111</v>
      </c>
      <c r="U16" t="s">
        <v>190</v>
      </c>
      <c r="V16">
        <v>480774</v>
      </c>
    </row>
    <row r="17" spans="1:22">
      <c r="A17">
        <v>5373</v>
      </c>
      <c r="B17" t="s">
        <v>2344</v>
      </c>
      <c r="C17">
        <v>5697</v>
      </c>
      <c r="D17" t="s">
        <v>2342</v>
      </c>
      <c r="E17" t="s">
        <v>2036</v>
      </c>
      <c r="F17">
        <v>202109</v>
      </c>
      <c r="G17" t="s">
        <v>190</v>
      </c>
      <c r="H17">
        <v>912468</v>
      </c>
      <c r="O17">
        <v>5373</v>
      </c>
      <c r="P17" t="s">
        <v>2344</v>
      </c>
      <c r="Q17">
        <v>5697</v>
      </c>
      <c r="R17" t="s">
        <v>2342</v>
      </c>
      <c r="S17" t="s">
        <v>2036</v>
      </c>
      <c r="T17">
        <v>202111</v>
      </c>
      <c r="U17" t="s">
        <v>191</v>
      </c>
      <c r="V17">
        <v>62179</v>
      </c>
    </row>
    <row r="18" spans="1:22">
      <c r="A18">
        <v>5373</v>
      </c>
      <c r="B18" t="s">
        <v>2344</v>
      </c>
      <c r="C18">
        <v>5697</v>
      </c>
      <c r="D18" t="s">
        <v>2342</v>
      </c>
      <c r="E18" t="s">
        <v>2036</v>
      </c>
      <c r="F18">
        <v>202109</v>
      </c>
      <c r="G18" t="s">
        <v>191</v>
      </c>
      <c r="H18">
        <v>83977</v>
      </c>
      <c r="O18">
        <v>5373</v>
      </c>
      <c r="P18" t="s">
        <v>2344</v>
      </c>
      <c r="Q18">
        <v>5697</v>
      </c>
      <c r="R18" t="s">
        <v>2342</v>
      </c>
      <c r="S18" t="s">
        <v>2036</v>
      </c>
      <c r="T18">
        <v>202111</v>
      </c>
      <c r="U18" t="s">
        <v>178</v>
      </c>
      <c r="V18">
        <v>1850</v>
      </c>
    </row>
    <row r="19" spans="1:22">
      <c r="A19">
        <v>5373</v>
      </c>
      <c r="B19" t="s">
        <v>2344</v>
      </c>
      <c r="C19">
        <v>5697</v>
      </c>
      <c r="D19" t="s">
        <v>2342</v>
      </c>
      <c r="E19" t="s">
        <v>2036</v>
      </c>
      <c r="F19">
        <v>202109</v>
      </c>
      <c r="G19" t="s">
        <v>176</v>
      </c>
      <c r="H19">
        <v>0</v>
      </c>
      <c r="O19">
        <v>5373</v>
      </c>
      <c r="P19" t="s">
        <v>2344</v>
      </c>
      <c r="Q19">
        <v>5697</v>
      </c>
      <c r="R19" t="s">
        <v>2342</v>
      </c>
      <c r="S19" t="s">
        <v>2036</v>
      </c>
      <c r="T19">
        <v>202111</v>
      </c>
      <c r="U19" t="s">
        <v>180</v>
      </c>
      <c r="V19">
        <v>1650</v>
      </c>
    </row>
    <row r="20" spans="1:22">
      <c r="A20">
        <v>5373</v>
      </c>
      <c r="B20" t="s">
        <v>2344</v>
      </c>
      <c r="C20">
        <v>5697</v>
      </c>
      <c r="D20" t="s">
        <v>2342</v>
      </c>
      <c r="E20" t="s">
        <v>2036</v>
      </c>
      <c r="F20">
        <v>202109</v>
      </c>
      <c r="G20" t="s">
        <v>178</v>
      </c>
      <c r="H20">
        <v>2650</v>
      </c>
      <c r="O20">
        <v>5373</v>
      </c>
      <c r="P20" t="s">
        <v>2344</v>
      </c>
      <c r="Q20">
        <v>5697</v>
      </c>
      <c r="R20" t="s">
        <v>2342</v>
      </c>
      <c r="S20" t="s">
        <v>2036</v>
      </c>
      <c r="T20">
        <v>202111</v>
      </c>
      <c r="U20" t="s">
        <v>182</v>
      </c>
      <c r="V20">
        <v>480774</v>
      </c>
    </row>
    <row r="21" spans="1:22">
      <c r="A21">
        <v>5373</v>
      </c>
      <c r="B21" t="s">
        <v>2344</v>
      </c>
      <c r="C21">
        <v>5697</v>
      </c>
      <c r="D21" t="s">
        <v>2342</v>
      </c>
      <c r="E21" t="s">
        <v>2036</v>
      </c>
      <c r="F21">
        <v>202109</v>
      </c>
      <c r="G21" t="s">
        <v>180</v>
      </c>
      <c r="H21">
        <v>1850</v>
      </c>
      <c r="O21">
        <v>5373</v>
      </c>
      <c r="P21" t="s">
        <v>2344</v>
      </c>
      <c r="Q21">
        <v>5697</v>
      </c>
      <c r="R21" t="s">
        <v>2342</v>
      </c>
      <c r="S21" t="s">
        <v>2036</v>
      </c>
      <c r="T21">
        <v>202111</v>
      </c>
      <c r="U21" t="s">
        <v>184</v>
      </c>
      <c r="V21">
        <v>62179</v>
      </c>
    </row>
    <row r="22" spans="1:22">
      <c r="A22">
        <v>5373</v>
      </c>
      <c r="B22" t="s">
        <v>2344</v>
      </c>
      <c r="C22">
        <v>5697</v>
      </c>
      <c r="D22" t="s">
        <v>2342</v>
      </c>
      <c r="E22" t="s">
        <v>2036</v>
      </c>
      <c r="F22">
        <v>202109</v>
      </c>
      <c r="G22" t="s">
        <v>182</v>
      </c>
      <c r="H22">
        <v>946407</v>
      </c>
      <c r="O22">
        <v>5373</v>
      </c>
      <c r="P22" t="s">
        <v>2344</v>
      </c>
      <c r="Q22">
        <v>5697</v>
      </c>
      <c r="R22" t="s">
        <v>2342</v>
      </c>
      <c r="S22" t="s">
        <v>2036</v>
      </c>
      <c r="T22">
        <v>202111</v>
      </c>
      <c r="U22" t="s">
        <v>186</v>
      </c>
      <c r="V22">
        <v>0</v>
      </c>
    </row>
    <row r="23" spans="1:22">
      <c r="A23">
        <v>5373</v>
      </c>
      <c r="B23" t="s">
        <v>2344</v>
      </c>
      <c r="C23">
        <v>5697</v>
      </c>
      <c r="D23" t="s">
        <v>2342</v>
      </c>
      <c r="E23" t="s">
        <v>2036</v>
      </c>
      <c r="F23">
        <v>202109</v>
      </c>
      <c r="G23" t="s">
        <v>184</v>
      </c>
      <c r="H23">
        <v>83977</v>
      </c>
      <c r="O23">
        <v>5373</v>
      </c>
      <c r="P23" t="s">
        <v>2344</v>
      </c>
      <c r="Q23">
        <v>5697</v>
      </c>
      <c r="R23" t="s">
        <v>2342</v>
      </c>
      <c r="S23" t="s">
        <v>2036</v>
      </c>
      <c r="T23">
        <v>202111</v>
      </c>
      <c r="U23" t="s">
        <v>190</v>
      </c>
      <c r="V23">
        <v>954619</v>
      </c>
    </row>
    <row r="24" spans="1:22">
      <c r="A24">
        <v>5373</v>
      </c>
      <c r="B24" t="s">
        <v>2344</v>
      </c>
      <c r="C24">
        <v>5697</v>
      </c>
      <c r="D24" t="s">
        <v>2342</v>
      </c>
      <c r="E24" t="s">
        <v>2036</v>
      </c>
      <c r="F24">
        <v>202109</v>
      </c>
      <c r="G24" t="s">
        <v>192</v>
      </c>
      <c r="H24">
        <v>0</v>
      </c>
      <c r="O24">
        <v>5373</v>
      </c>
      <c r="P24" t="s">
        <v>2344</v>
      </c>
      <c r="Q24">
        <v>5697</v>
      </c>
      <c r="R24" t="s">
        <v>2342</v>
      </c>
      <c r="S24" t="s">
        <v>2036</v>
      </c>
      <c r="T24">
        <v>202111</v>
      </c>
      <c r="U24" t="s">
        <v>191</v>
      </c>
      <c r="V24">
        <v>85771</v>
      </c>
    </row>
    <row r="25" spans="1:22">
      <c r="A25">
        <v>5373</v>
      </c>
      <c r="B25" t="s">
        <v>2344</v>
      </c>
      <c r="C25">
        <v>5697</v>
      </c>
      <c r="D25" t="s">
        <v>2342</v>
      </c>
      <c r="E25" t="s">
        <v>2036</v>
      </c>
      <c r="F25">
        <v>202109</v>
      </c>
      <c r="G25" t="s">
        <v>2170</v>
      </c>
      <c r="H25">
        <v>9474.32</v>
      </c>
      <c r="O25">
        <v>5373</v>
      </c>
      <c r="P25" t="s">
        <v>2344</v>
      </c>
      <c r="Q25">
        <v>5697</v>
      </c>
      <c r="R25" t="s">
        <v>2342</v>
      </c>
      <c r="S25" t="s">
        <v>2036</v>
      </c>
      <c r="T25">
        <v>202111</v>
      </c>
      <c r="U25" t="s">
        <v>178</v>
      </c>
      <c r="V25">
        <v>2650</v>
      </c>
    </row>
    <row r="26" spans="1:22">
      <c r="A26">
        <v>5373</v>
      </c>
      <c r="B26" t="s">
        <v>2344</v>
      </c>
      <c r="C26">
        <v>5697</v>
      </c>
      <c r="D26" t="s">
        <v>2342</v>
      </c>
      <c r="E26" t="s">
        <v>2036</v>
      </c>
      <c r="F26">
        <v>202109</v>
      </c>
      <c r="G26" t="s">
        <v>186</v>
      </c>
      <c r="H26">
        <v>33939</v>
      </c>
      <c r="O26">
        <v>5373</v>
      </c>
      <c r="P26" t="s">
        <v>2344</v>
      </c>
      <c r="Q26">
        <v>5697</v>
      </c>
      <c r="R26" t="s">
        <v>2342</v>
      </c>
      <c r="S26" t="s">
        <v>2036</v>
      </c>
      <c r="T26">
        <v>202111</v>
      </c>
      <c r="U26" t="s">
        <v>180</v>
      </c>
      <c r="V26">
        <v>1888.32</v>
      </c>
    </row>
    <row r="27" spans="1:22">
      <c r="A27">
        <v>5373</v>
      </c>
      <c r="B27" t="s">
        <v>2344</v>
      </c>
      <c r="C27">
        <v>5697</v>
      </c>
      <c r="D27" t="s">
        <v>2342</v>
      </c>
      <c r="E27" t="s">
        <v>2036</v>
      </c>
      <c r="F27">
        <v>202109</v>
      </c>
      <c r="G27" t="s">
        <v>2169</v>
      </c>
      <c r="H27">
        <v>264.43</v>
      </c>
      <c r="O27">
        <v>5373</v>
      </c>
      <c r="P27" t="s">
        <v>2344</v>
      </c>
      <c r="Q27">
        <v>5697</v>
      </c>
      <c r="R27" t="s">
        <v>2342</v>
      </c>
      <c r="S27" t="s">
        <v>2036</v>
      </c>
      <c r="T27">
        <v>202111</v>
      </c>
      <c r="U27" t="s">
        <v>182</v>
      </c>
      <c r="V27">
        <v>990698</v>
      </c>
    </row>
    <row r="28" spans="1:22">
      <c r="A28">
        <v>5373</v>
      </c>
      <c r="B28" t="s">
        <v>2344</v>
      </c>
      <c r="C28">
        <v>5697</v>
      </c>
      <c r="D28" t="s">
        <v>2342</v>
      </c>
      <c r="E28" t="s">
        <v>2036</v>
      </c>
      <c r="F28">
        <v>202109</v>
      </c>
      <c r="G28" t="s">
        <v>2166</v>
      </c>
      <c r="H28">
        <v>12.33</v>
      </c>
      <c r="O28">
        <v>5373</v>
      </c>
      <c r="P28" t="s">
        <v>2344</v>
      </c>
      <c r="Q28">
        <v>5697</v>
      </c>
      <c r="R28" t="s">
        <v>2342</v>
      </c>
      <c r="S28" t="s">
        <v>2036</v>
      </c>
      <c r="T28">
        <v>202111</v>
      </c>
      <c r="U28" t="s">
        <v>184</v>
      </c>
      <c r="V28">
        <v>85771</v>
      </c>
    </row>
    <row r="29" spans="1:22">
      <c r="A29">
        <v>5373</v>
      </c>
      <c r="B29" t="s">
        <v>2344</v>
      </c>
      <c r="C29">
        <v>5697</v>
      </c>
      <c r="D29" t="s">
        <v>2342</v>
      </c>
      <c r="E29" t="s">
        <v>2036</v>
      </c>
      <c r="F29">
        <v>202109</v>
      </c>
      <c r="G29" t="s">
        <v>2167</v>
      </c>
      <c r="H29">
        <v>23.94</v>
      </c>
      <c r="O29">
        <v>5373</v>
      </c>
      <c r="P29" t="s">
        <v>2344</v>
      </c>
      <c r="Q29">
        <v>5697</v>
      </c>
      <c r="R29" t="s">
        <v>2342</v>
      </c>
      <c r="S29" t="s">
        <v>2036</v>
      </c>
      <c r="T29">
        <v>202111</v>
      </c>
      <c r="U29" t="s">
        <v>186</v>
      </c>
      <c r="V29">
        <v>36079</v>
      </c>
    </row>
    <row r="30" spans="1:22">
      <c r="A30">
        <v>5373</v>
      </c>
      <c r="B30" t="s">
        <v>2344</v>
      </c>
      <c r="C30">
        <v>5697</v>
      </c>
      <c r="D30" t="s">
        <v>2342</v>
      </c>
      <c r="E30" t="s">
        <v>2036</v>
      </c>
      <c r="F30">
        <v>202109</v>
      </c>
      <c r="G30" t="s">
        <v>2168</v>
      </c>
      <c r="H30">
        <v>10.17</v>
      </c>
      <c r="O30">
        <v>5373</v>
      </c>
      <c r="P30" t="s">
        <v>2344</v>
      </c>
      <c r="Q30">
        <v>5697</v>
      </c>
      <c r="R30" t="s">
        <v>2342</v>
      </c>
      <c r="S30" t="s">
        <v>2036</v>
      </c>
      <c r="T30">
        <v>202112</v>
      </c>
      <c r="U30" t="s">
        <v>190</v>
      </c>
      <c r="V30">
        <v>940967</v>
      </c>
    </row>
    <row r="31" spans="1:22">
      <c r="A31">
        <v>5373</v>
      </c>
      <c r="B31" t="s">
        <v>2344</v>
      </c>
      <c r="C31">
        <v>5697</v>
      </c>
      <c r="D31" t="s">
        <v>2342</v>
      </c>
      <c r="E31" t="s">
        <v>2036</v>
      </c>
      <c r="F31">
        <v>202109</v>
      </c>
      <c r="G31" t="s">
        <v>2171</v>
      </c>
      <c r="H31">
        <v>361614.88</v>
      </c>
      <c r="O31">
        <v>5373</v>
      </c>
      <c r="P31" t="s">
        <v>2344</v>
      </c>
      <c r="Q31">
        <v>5697</v>
      </c>
      <c r="R31" t="s">
        <v>2342</v>
      </c>
      <c r="S31" t="s">
        <v>2036</v>
      </c>
      <c r="T31">
        <v>202112</v>
      </c>
      <c r="U31" t="s">
        <v>191</v>
      </c>
      <c r="V31">
        <v>98066</v>
      </c>
    </row>
    <row r="32" spans="1:22">
      <c r="A32">
        <v>5373</v>
      </c>
      <c r="B32" t="s">
        <v>2344</v>
      </c>
      <c r="C32">
        <v>5697</v>
      </c>
      <c r="D32" t="s">
        <v>2342</v>
      </c>
      <c r="E32" t="s">
        <v>2036</v>
      </c>
      <c r="F32">
        <v>202110</v>
      </c>
      <c r="G32" t="s">
        <v>190</v>
      </c>
      <c r="H32">
        <v>457752</v>
      </c>
      <c r="O32">
        <v>5373</v>
      </c>
      <c r="P32" t="s">
        <v>2344</v>
      </c>
      <c r="Q32">
        <v>5697</v>
      </c>
      <c r="R32" t="s">
        <v>2342</v>
      </c>
      <c r="S32" t="s">
        <v>2036</v>
      </c>
      <c r="T32">
        <v>202112</v>
      </c>
      <c r="U32" t="s">
        <v>178</v>
      </c>
      <c r="V32">
        <v>2650</v>
      </c>
    </row>
    <row r="33" spans="1:22">
      <c r="A33">
        <v>5373</v>
      </c>
      <c r="B33" t="s">
        <v>2344</v>
      </c>
      <c r="C33">
        <v>5697</v>
      </c>
      <c r="D33" t="s">
        <v>2342</v>
      </c>
      <c r="E33" t="s">
        <v>2036</v>
      </c>
      <c r="F33">
        <v>202110</v>
      </c>
      <c r="G33" t="s">
        <v>191</v>
      </c>
      <c r="H33">
        <v>57921</v>
      </c>
      <c r="O33">
        <v>5373</v>
      </c>
      <c r="P33" t="s">
        <v>2344</v>
      </c>
      <c r="Q33">
        <v>5697</v>
      </c>
      <c r="R33" t="s">
        <v>2342</v>
      </c>
      <c r="S33" t="s">
        <v>2036</v>
      </c>
      <c r="T33">
        <v>202112</v>
      </c>
      <c r="U33" t="s">
        <v>180</v>
      </c>
      <c r="V33">
        <v>1866.48</v>
      </c>
    </row>
    <row r="34" spans="1:22">
      <c r="A34">
        <v>5373</v>
      </c>
      <c r="B34" t="s">
        <v>2344</v>
      </c>
      <c r="C34">
        <v>5697</v>
      </c>
      <c r="D34" t="s">
        <v>2342</v>
      </c>
      <c r="E34" t="s">
        <v>2036</v>
      </c>
      <c r="F34">
        <v>202110</v>
      </c>
      <c r="G34" t="s">
        <v>176</v>
      </c>
      <c r="H34">
        <v>0</v>
      </c>
      <c r="O34">
        <v>5373</v>
      </c>
      <c r="P34" t="s">
        <v>2344</v>
      </c>
      <c r="Q34">
        <v>5697</v>
      </c>
      <c r="R34" t="s">
        <v>2342</v>
      </c>
      <c r="S34" t="s">
        <v>2036</v>
      </c>
      <c r="T34">
        <v>202112</v>
      </c>
      <c r="U34" t="s">
        <v>182</v>
      </c>
      <c r="V34">
        <v>973865</v>
      </c>
    </row>
    <row r="35" spans="1:22">
      <c r="A35">
        <v>5373</v>
      </c>
      <c r="B35" t="s">
        <v>2344</v>
      </c>
      <c r="C35">
        <v>5697</v>
      </c>
      <c r="D35" t="s">
        <v>2342</v>
      </c>
      <c r="E35" t="s">
        <v>2036</v>
      </c>
      <c r="F35">
        <v>202110</v>
      </c>
      <c r="G35" t="s">
        <v>178</v>
      </c>
      <c r="H35">
        <v>1850</v>
      </c>
      <c r="O35">
        <v>5373</v>
      </c>
      <c r="P35" t="s">
        <v>2344</v>
      </c>
      <c r="Q35">
        <v>5697</v>
      </c>
      <c r="R35" t="s">
        <v>2342</v>
      </c>
      <c r="S35" t="s">
        <v>2036</v>
      </c>
      <c r="T35">
        <v>202112</v>
      </c>
      <c r="U35" t="s">
        <v>184</v>
      </c>
      <c r="V35">
        <v>98066</v>
      </c>
    </row>
    <row r="36" spans="1:22">
      <c r="A36">
        <v>5373</v>
      </c>
      <c r="B36" t="s">
        <v>2344</v>
      </c>
      <c r="C36">
        <v>5697</v>
      </c>
      <c r="D36" t="s">
        <v>2342</v>
      </c>
      <c r="E36" t="s">
        <v>2036</v>
      </c>
      <c r="F36">
        <v>202110</v>
      </c>
      <c r="G36" t="s">
        <v>180</v>
      </c>
      <c r="H36">
        <v>1650</v>
      </c>
      <c r="O36">
        <v>5373</v>
      </c>
      <c r="P36" t="s">
        <v>2344</v>
      </c>
      <c r="Q36">
        <v>5697</v>
      </c>
      <c r="R36" t="s">
        <v>2342</v>
      </c>
      <c r="S36" t="s">
        <v>2036</v>
      </c>
      <c r="T36">
        <v>202112</v>
      </c>
      <c r="U36" t="s">
        <v>186</v>
      </c>
      <c r="V36">
        <v>32898</v>
      </c>
    </row>
    <row r="37" spans="1:22">
      <c r="A37">
        <v>5373</v>
      </c>
      <c r="B37" t="s">
        <v>2344</v>
      </c>
      <c r="C37">
        <v>5697</v>
      </c>
      <c r="D37" t="s">
        <v>2342</v>
      </c>
      <c r="E37" t="s">
        <v>2036</v>
      </c>
      <c r="F37">
        <v>202110</v>
      </c>
      <c r="G37" t="s">
        <v>182</v>
      </c>
      <c r="H37">
        <v>457752</v>
      </c>
      <c r="O37">
        <v>5373</v>
      </c>
      <c r="P37" t="s">
        <v>2344</v>
      </c>
      <c r="Q37">
        <v>5697</v>
      </c>
      <c r="R37" t="s">
        <v>2342</v>
      </c>
      <c r="S37" t="s">
        <v>2036</v>
      </c>
      <c r="T37">
        <v>202112</v>
      </c>
      <c r="U37" t="s">
        <v>190</v>
      </c>
      <c r="V37">
        <v>479401</v>
      </c>
    </row>
    <row r="38" spans="1:22">
      <c r="A38">
        <v>5373</v>
      </c>
      <c r="B38" t="s">
        <v>2344</v>
      </c>
      <c r="C38">
        <v>5697</v>
      </c>
      <c r="D38" t="s">
        <v>2342</v>
      </c>
      <c r="E38" t="s">
        <v>2036</v>
      </c>
      <c r="F38">
        <v>202110</v>
      </c>
      <c r="G38" t="s">
        <v>184</v>
      </c>
      <c r="H38">
        <v>57921</v>
      </c>
      <c r="O38">
        <v>5373</v>
      </c>
      <c r="P38" t="s">
        <v>2344</v>
      </c>
      <c r="Q38">
        <v>5697</v>
      </c>
      <c r="R38" t="s">
        <v>2342</v>
      </c>
      <c r="S38" t="s">
        <v>2036</v>
      </c>
      <c r="T38">
        <v>202112</v>
      </c>
      <c r="U38" t="s">
        <v>191</v>
      </c>
      <c r="V38">
        <v>68357</v>
      </c>
    </row>
    <row r="39" spans="1:22">
      <c r="A39">
        <v>5373</v>
      </c>
      <c r="B39" t="s">
        <v>2344</v>
      </c>
      <c r="C39">
        <v>5697</v>
      </c>
      <c r="D39" t="s">
        <v>2342</v>
      </c>
      <c r="E39" t="s">
        <v>2036</v>
      </c>
      <c r="F39">
        <v>202110</v>
      </c>
      <c r="G39" t="s">
        <v>192</v>
      </c>
      <c r="H39">
        <v>0</v>
      </c>
      <c r="O39">
        <v>5373</v>
      </c>
      <c r="P39" t="s">
        <v>2344</v>
      </c>
      <c r="Q39">
        <v>5697</v>
      </c>
      <c r="R39" t="s">
        <v>2342</v>
      </c>
      <c r="S39" t="s">
        <v>2036</v>
      </c>
      <c r="T39">
        <v>202112</v>
      </c>
      <c r="U39" t="s">
        <v>178</v>
      </c>
      <c r="V39">
        <v>1850</v>
      </c>
    </row>
    <row r="40" spans="1:22">
      <c r="A40">
        <v>5373</v>
      </c>
      <c r="B40" t="s">
        <v>2344</v>
      </c>
      <c r="C40">
        <v>5697</v>
      </c>
      <c r="D40" t="s">
        <v>2342</v>
      </c>
      <c r="E40" t="s">
        <v>2036</v>
      </c>
      <c r="F40">
        <v>202110</v>
      </c>
      <c r="G40" t="s">
        <v>2170</v>
      </c>
      <c r="H40">
        <v>8114.95</v>
      </c>
      <c r="O40">
        <v>5373</v>
      </c>
      <c r="P40" t="s">
        <v>2344</v>
      </c>
      <c r="Q40">
        <v>5697</v>
      </c>
      <c r="R40" t="s">
        <v>2342</v>
      </c>
      <c r="S40" t="s">
        <v>2036</v>
      </c>
      <c r="T40">
        <v>202112</v>
      </c>
      <c r="U40" t="s">
        <v>180</v>
      </c>
      <c r="V40">
        <v>1650</v>
      </c>
    </row>
    <row r="41" spans="1:22">
      <c r="A41">
        <v>5373</v>
      </c>
      <c r="B41" t="s">
        <v>2344</v>
      </c>
      <c r="C41">
        <v>5697</v>
      </c>
      <c r="D41" t="s">
        <v>2342</v>
      </c>
      <c r="E41" t="s">
        <v>2036</v>
      </c>
      <c r="F41">
        <v>202110</v>
      </c>
      <c r="G41" t="s">
        <v>186</v>
      </c>
      <c r="H41">
        <v>0</v>
      </c>
      <c r="O41">
        <v>5373</v>
      </c>
      <c r="P41" t="s">
        <v>2344</v>
      </c>
      <c r="Q41">
        <v>5697</v>
      </c>
      <c r="R41" t="s">
        <v>2342</v>
      </c>
      <c r="S41" t="s">
        <v>2036</v>
      </c>
      <c r="T41">
        <v>202112</v>
      </c>
      <c r="U41" t="s">
        <v>182</v>
      </c>
      <c r="V41">
        <v>479401</v>
      </c>
    </row>
    <row r="42" spans="1:22">
      <c r="A42">
        <v>5373</v>
      </c>
      <c r="B42" t="s">
        <v>2344</v>
      </c>
      <c r="C42">
        <v>5697</v>
      </c>
      <c r="D42" t="s">
        <v>2342</v>
      </c>
      <c r="E42" t="s">
        <v>2036</v>
      </c>
      <c r="F42">
        <v>202110</v>
      </c>
      <c r="G42" t="s">
        <v>2169</v>
      </c>
      <c r="H42">
        <v>302.83999999999997</v>
      </c>
      <c r="O42">
        <v>5373</v>
      </c>
      <c r="P42" t="s">
        <v>2344</v>
      </c>
      <c r="Q42">
        <v>5697</v>
      </c>
      <c r="R42" t="s">
        <v>2342</v>
      </c>
      <c r="S42" t="s">
        <v>2036</v>
      </c>
      <c r="T42">
        <v>202112</v>
      </c>
      <c r="U42" t="s">
        <v>184</v>
      </c>
      <c r="V42">
        <v>68357</v>
      </c>
    </row>
    <row r="43" spans="1:22">
      <c r="A43">
        <v>5373</v>
      </c>
      <c r="B43" t="s">
        <v>2344</v>
      </c>
      <c r="C43">
        <v>5697</v>
      </c>
      <c r="D43" t="s">
        <v>2342</v>
      </c>
      <c r="E43" t="s">
        <v>2036</v>
      </c>
      <c r="F43">
        <v>202110</v>
      </c>
      <c r="G43" t="s">
        <v>2166</v>
      </c>
      <c r="H43">
        <v>11.83</v>
      </c>
      <c r="O43">
        <v>5373</v>
      </c>
      <c r="P43" t="s">
        <v>2344</v>
      </c>
      <c r="Q43">
        <v>5697</v>
      </c>
      <c r="R43" t="s">
        <v>2342</v>
      </c>
      <c r="S43" t="s">
        <v>2036</v>
      </c>
      <c r="T43">
        <v>202112</v>
      </c>
      <c r="U43" t="s">
        <v>186</v>
      </c>
      <c r="V43">
        <v>0</v>
      </c>
    </row>
    <row r="44" spans="1:22">
      <c r="A44">
        <v>5373</v>
      </c>
      <c r="B44" t="s">
        <v>2344</v>
      </c>
      <c r="C44">
        <v>5697</v>
      </c>
      <c r="D44" t="s">
        <v>2342</v>
      </c>
      <c r="E44" t="s">
        <v>2036</v>
      </c>
      <c r="F44">
        <v>202110</v>
      </c>
      <c r="G44" t="s">
        <v>2167</v>
      </c>
      <c r="H44">
        <v>21.22</v>
      </c>
      <c r="O44">
        <v>5373</v>
      </c>
      <c r="P44" t="s">
        <v>2344</v>
      </c>
      <c r="Q44">
        <v>5697</v>
      </c>
      <c r="R44" t="s">
        <v>2342</v>
      </c>
      <c r="S44" t="s">
        <v>2036</v>
      </c>
      <c r="T44">
        <v>202201</v>
      </c>
      <c r="U44" t="s">
        <v>190</v>
      </c>
      <c r="V44">
        <v>1007061</v>
      </c>
    </row>
    <row r="45" spans="1:22">
      <c r="A45">
        <v>5373</v>
      </c>
      <c r="B45" t="s">
        <v>2344</v>
      </c>
      <c r="C45">
        <v>5697</v>
      </c>
      <c r="D45" t="s">
        <v>2342</v>
      </c>
      <c r="E45" t="s">
        <v>2036</v>
      </c>
      <c r="F45">
        <v>202110</v>
      </c>
      <c r="G45" t="s">
        <v>2168</v>
      </c>
      <c r="H45">
        <v>14.37</v>
      </c>
      <c r="O45">
        <v>5373</v>
      </c>
      <c r="P45" t="s">
        <v>2344</v>
      </c>
      <c r="Q45">
        <v>5697</v>
      </c>
      <c r="R45" t="s">
        <v>2342</v>
      </c>
      <c r="S45" t="s">
        <v>2036</v>
      </c>
      <c r="T45">
        <v>202201</v>
      </c>
      <c r="U45" t="s">
        <v>191</v>
      </c>
      <c r="V45">
        <v>96393</v>
      </c>
    </row>
    <row r="46" spans="1:22">
      <c r="A46">
        <v>5373</v>
      </c>
      <c r="B46" t="s">
        <v>2344</v>
      </c>
      <c r="C46">
        <v>5697</v>
      </c>
      <c r="D46" t="s">
        <v>2342</v>
      </c>
      <c r="E46" t="s">
        <v>2036</v>
      </c>
      <c r="F46">
        <v>202110</v>
      </c>
      <c r="G46" t="s">
        <v>2171</v>
      </c>
      <c r="H46">
        <v>228590.06</v>
      </c>
      <c r="O46">
        <v>5373</v>
      </c>
      <c r="P46" t="s">
        <v>2344</v>
      </c>
      <c r="Q46">
        <v>5697</v>
      </c>
      <c r="R46" t="s">
        <v>2342</v>
      </c>
      <c r="S46" t="s">
        <v>2036</v>
      </c>
      <c r="T46">
        <v>202201</v>
      </c>
      <c r="U46" t="s">
        <v>178</v>
      </c>
      <c r="V46">
        <v>2800</v>
      </c>
    </row>
    <row r="47" spans="1:22">
      <c r="A47">
        <v>5373</v>
      </c>
      <c r="B47" t="s">
        <v>2344</v>
      </c>
      <c r="C47">
        <v>5697</v>
      </c>
      <c r="D47" t="s">
        <v>2342</v>
      </c>
      <c r="E47" t="s">
        <v>2036</v>
      </c>
      <c r="F47">
        <v>202110</v>
      </c>
      <c r="G47" t="s">
        <v>190</v>
      </c>
      <c r="H47">
        <v>922776</v>
      </c>
      <c r="O47">
        <v>5373</v>
      </c>
      <c r="P47" t="s">
        <v>2344</v>
      </c>
      <c r="Q47">
        <v>5697</v>
      </c>
      <c r="R47" t="s">
        <v>2342</v>
      </c>
      <c r="S47" t="s">
        <v>2036</v>
      </c>
      <c r="T47">
        <v>202201</v>
      </c>
      <c r="U47" t="s">
        <v>180</v>
      </c>
      <c r="V47">
        <v>2234.4</v>
      </c>
    </row>
    <row r="48" spans="1:22">
      <c r="A48">
        <v>5373</v>
      </c>
      <c r="B48" t="s">
        <v>2344</v>
      </c>
      <c r="C48">
        <v>5697</v>
      </c>
      <c r="D48" t="s">
        <v>2342</v>
      </c>
      <c r="E48" t="s">
        <v>2036</v>
      </c>
      <c r="F48">
        <v>202110</v>
      </c>
      <c r="G48" t="s">
        <v>191</v>
      </c>
      <c r="H48">
        <v>81524</v>
      </c>
      <c r="O48">
        <v>5373</v>
      </c>
      <c r="P48" t="s">
        <v>2344</v>
      </c>
      <c r="Q48">
        <v>5697</v>
      </c>
      <c r="R48" t="s">
        <v>2342</v>
      </c>
      <c r="S48" t="s">
        <v>2036</v>
      </c>
      <c r="T48">
        <v>202201</v>
      </c>
      <c r="U48" t="s">
        <v>182</v>
      </c>
      <c r="V48">
        <v>1027851</v>
      </c>
    </row>
    <row r="49" spans="1:22">
      <c r="A49">
        <v>5373</v>
      </c>
      <c r="B49" t="s">
        <v>2344</v>
      </c>
      <c r="C49">
        <v>5697</v>
      </c>
      <c r="D49" t="s">
        <v>2342</v>
      </c>
      <c r="E49" t="s">
        <v>2036</v>
      </c>
      <c r="F49">
        <v>202110</v>
      </c>
      <c r="G49" t="s">
        <v>176</v>
      </c>
      <c r="H49">
        <v>0</v>
      </c>
      <c r="O49">
        <v>5373</v>
      </c>
      <c r="P49" t="s">
        <v>2344</v>
      </c>
      <c r="Q49">
        <v>5697</v>
      </c>
      <c r="R49" t="s">
        <v>2342</v>
      </c>
      <c r="S49" t="s">
        <v>2036</v>
      </c>
      <c r="T49">
        <v>202201</v>
      </c>
      <c r="U49" t="s">
        <v>184</v>
      </c>
      <c r="V49">
        <v>96393</v>
      </c>
    </row>
    <row r="50" spans="1:22">
      <c r="A50">
        <v>5373</v>
      </c>
      <c r="B50" t="s">
        <v>2344</v>
      </c>
      <c r="C50">
        <v>5697</v>
      </c>
      <c r="D50" t="s">
        <v>2342</v>
      </c>
      <c r="E50" t="s">
        <v>2036</v>
      </c>
      <c r="F50">
        <v>202110</v>
      </c>
      <c r="G50" t="s">
        <v>178</v>
      </c>
      <c r="H50">
        <v>2650</v>
      </c>
      <c r="O50">
        <v>5373</v>
      </c>
      <c r="P50" t="s">
        <v>2344</v>
      </c>
      <c r="Q50">
        <v>5697</v>
      </c>
      <c r="R50" t="s">
        <v>2342</v>
      </c>
      <c r="S50" t="s">
        <v>2036</v>
      </c>
      <c r="T50">
        <v>202201</v>
      </c>
      <c r="U50" t="s">
        <v>186</v>
      </c>
      <c r="V50">
        <v>20790</v>
      </c>
    </row>
    <row r="51" spans="1:22">
      <c r="A51">
        <v>5373</v>
      </c>
      <c r="B51" t="s">
        <v>2344</v>
      </c>
      <c r="C51">
        <v>5697</v>
      </c>
      <c r="D51" t="s">
        <v>2342</v>
      </c>
      <c r="E51" t="s">
        <v>2036</v>
      </c>
      <c r="F51">
        <v>202110</v>
      </c>
      <c r="G51" t="s">
        <v>180</v>
      </c>
      <c r="H51">
        <v>1850</v>
      </c>
      <c r="O51">
        <v>5373</v>
      </c>
      <c r="P51" t="s">
        <v>2344</v>
      </c>
      <c r="Q51">
        <v>5697</v>
      </c>
      <c r="R51" t="s">
        <v>2342</v>
      </c>
      <c r="S51" t="s">
        <v>2036</v>
      </c>
      <c r="T51">
        <v>202201</v>
      </c>
      <c r="U51" t="s">
        <v>190</v>
      </c>
      <c r="V51">
        <v>499142</v>
      </c>
    </row>
    <row r="52" spans="1:22">
      <c r="A52">
        <v>5373</v>
      </c>
      <c r="B52" t="s">
        <v>2344</v>
      </c>
      <c r="C52">
        <v>5697</v>
      </c>
      <c r="D52" t="s">
        <v>2342</v>
      </c>
      <c r="E52" t="s">
        <v>2036</v>
      </c>
      <c r="F52">
        <v>202110</v>
      </c>
      <c r="G52" t="s">
        <v>182</v>
      </c>
      <c r="H52">
        <v>958913</v>
      </c>
      <c r="O52">
        <v>5373</v>
      </c>
      <c r="P52" t="s">
        <v>2344</v>
      </c>
      <c r="Q52">
        <v>5697</v>
      </c>
      <c r="R52" t="s">
        <v>2342</v>
      </c>
      <c r="S52" t="s">
        <v>2036</v>
      </c>
      <c r="T52">
        <v>202201</v>
      </c>
      <c r="U52" t="s">
        <v>191</v>
      </c>
      <c r="V52">
        <v>65908</v>
      </c>
    </row>
    <row r="53" spans="1:22">
      <c r="A53">
        <v>5373</v>
      </c>
      <c r="B53" t="s">
        <v>2344</v>
      </c>
      <c r="C53">
        <v>5697</v>
      </c>
      <c r="D53" t="s">
        <v>2342</v>
      </c>
      <c r="E53" t="s">
        <v>2036</v>
      </c>
      <c r="F53">
        <v>202110</v>
      </c>
      <c r="G53" t="s">
        <v>184</v>
      </c>
      <c r="H53">
        <v>81524</v>
      </c>
      <c r="O53">
        <v>5373</v>
      </c>
      <c r="P53" t="s">
        <v>2344</v>
      </c>
      <c r="Q53">
        <v>5697</v>
      </c>
      <c r="R53" t="s">
        <v>2342</v>
      </c>
      <c r="S53" t="s">
        <v>2036</v>
      </c>
      <c r="T53">
        <v>202201</v>
      </c>
      <c r="U53" t="s">
        <v>178</v>
      </c>
      <c r="V53">
        <v>1850</v>
      </c>
    </row>
    <row r="54" spans="1:22">
      <c r="A54">
        <v>5373</v>
      </c>
      <c r="B54" t="s">
        <v>2344</v>
      </c>
      <c r="C54">
        <v>5697</v>
      </c>
      <c r="D54" t="s">
        <v>2342</v>
      </c>
      <c r="E54" t="s">
        <v>2036</v>
      </c>
      <c r="F54">
        <v>202110</v>
      </c>
      <c r="G54" t="s">
        <v>192</v>
      </c>
      <c r="H54">
        <v>0</v>
      </c>
      <c r="O54">
        <v>5373</v>
      </c>
      <c r="P54" t="s">
        <v>2344</v>
      </c>
      <c r="Q54">
        <v>5697</v>
      </c>
      <c r="R54" t="s">
        <v>2342</v>
      </c>
      <c r="S54" t="s">
        <v>2036</v>
      </c>
      <c r="T54">
        <v>202201</v>
      </c>
      <c r="U54" t="s">
        <v>180</v>
      </c>
      <c r="V54">
        <v>1650</v>
      </c>
    </row>
    <row r="55" spans="1:22">
      <c r="A55">
        <v>5373</v>
      </c>
      <c r="B55" t="s">
        <v>2344</v>
      </c>
      <c r="C55">
        <v>5697</v>
      </c>
      <c r="D55" t="s">
        <v>2342</v>
      </c>
      <c r="E55" t="s">
        <v>2036</v>
      </c>
      <c r="F55">
        <v>202110</v>
      </c>
      <c r="G55" t="s">
        <v>2170</v>
      </c>
      <c r="H55">
        <v>14343.54</v>
      </c>
      <c r="O55">
        <v>5373</v>
      </c>
      <c r="P55" t="s">
        <v>2344</v>
      </c>
      <c r="Q55">
        <v>5697</v>
      </c>
      <c r="R55" t="s">
        <v>2342</v>
      </c>
      <c r="S55" t="s">
        <v>2036</v>
      </c>
      <c r="T55">
        <v>202201</v>
      </c>
      <c r="U55" t="s">
        <v>182</v>
      </c>
      <c r="V55">
        <v>499142</v>
      </c>
    </row>
    <row r="56" spans="1:22">
      <c r="A56">
        <v>5373</v>
      </c>
      <c r="B56" t="s">
        <v>2344</v>
      </c>
      <c r="C56">
        <v>5697</v>
      </c>
      <c r="D56" t="s">
        <v>2342</v>
      </c>
      <c r="E56" t="s">
        <v>2036</v>
      </c>
      <c r="F56">
        <v>202110</v>
      </c>
      <c r="G56" t="s">
        <v>186</v>
      </c>
      <c r="H56">
        <v>36137</v>
      </c>
      <c r="O56">
        <v>5373</v>
      </c>
      <c r="P56" t="s">
        <v>2344</v>
      </c>
      <c r="Q56">
        <v>5697</v>
      </c>
      <c r="R56" t="s">
        <v>2342</v>
      </c>
      <c r="S56" t="s">
        <v>2036</v>
      </c>
      <c r="T56">
        <v>202201</v>
      </c>
      <c r="U56" t="s">
        <v>184</v>
      </c>
      <c r="V56">
        <v>65908</v>
      </c>
    </row>
    <row r="57" spans="1:22">
      <c r="A57">
        <v>5373</v>
      </c>
      <c r="B57" t="s">
        <v>2344</v>
      </c>
      <c r="C57">
        <v>5697</v>
      </c>
      <c r="D57" t="s">
        <v>2342</v>
      </c>
      <c r="E57" t="s">
        <v>2036</v>
      </c>
      <c r="F57">
        <v>202110</v>
      </c>
      <c r="G57" t="s">
        <v>2169</v>
      </c>
      <c r="H57">
        <v>302.83999999999997</v>
      </c>
      <c r="O57">
        <v>5373</v>
      </c>
      <c r="P57" t="s">
        <v>2344</v>
      </c>
      <c r="Q57">
        <v>5697</v>
      </c>
      <c r="R57" t="s">
        <v>2342</v>
      </c>
      <c r="S57" t="s">
        <v>2036</v>
      </c>
      <c r="T57">
        <v>202201</v>
      </c>
      <c r="U57" t="s">
        <v>186</v>
      </c>
      <c r="V57">
        <v>0</v>
      </c>
    </row>
    <row r="58" spans="1:22">
      <c r="A58">
        <v>5373</v>
      </c>
      <c r="B58" t="s">
        <v>2344</v>
      </c>
      <c r="C58">
        <v>5697</v>
      </c>
      <c r="D58" t="s">
        <v>2342</v>
      </c>
      <c r="E58" t="s">
        <v>2036</v>
      </c>
      <c r="F58">
        <v>202110</v>
      </c>
      <c r="G58" t="s">
        <v>2166</v>
      </c>
      <c r="H58">
        <v>11.83</v>
      </c>
      <c r="O58">
        <v>5373</v>
      </c>
      <c r="P58" t="s">
        <v>2344</v>
      </c>
      <c r="Q58">
        <v>5697</v>
      </c>
      <c r="R58" t="s">
        <v>2342</v>
      </c>
      <c r="S58" t="s">
        <v>2036</v>
      </c>
      <c r="T58">
        <v>202202</v>
      </c>
      <c r="U58" t="s">
        <v>190</v>
      </c>
      <c r="V58">
        <v>837863</v>
      </c>
    </row>
    <row r="59" spans="1:22">
      <c r="A59">
        <v>5373</v>
      </c>
      <c r="B59" t="s">
        <v>2344</v>
      </c>
      <c r="C59">
        <v>5697</v>
      </c>
      <c r="D59" t="s">
        <v>2342</v>
      </c>
      <c r="E59" t="s">
        <v>2036</v>
      </c>
      <c r="F59">
        <v>202110</v>
      </c>
      <c r="G59" t="s">
        <v>2167</v>
      </c>
      <c r="H59">
        <v>21.22</v>
      </c>
      <c r="O59">
        <v>5373</v>
      </c>
      <c r="P59" t="s">
        <v>2344</v>
      </c>
      <c r="Q59">
        <v>5697</v>
      </c>
      <c r="R59" t="s">
        <v>2342</v>
      </c>
      <c r="S59" t="s">
        <v>2036</v>
      </c>
      <c r="T59">
        <v>202202</v>
      </c>
      <c r="U59" t="s">
        <v>191</v>
      </c>
      <c r="V59">
        <v>83399</v>
      </c>
    </row>
    <row r="60" spans="1:22">
      <c r="A60">
        <v>5373</v>
      </c>
      <c r="B60" t="s">
        <v>2344</v>
      </c>
      <c r="C60">
        <v>5697</v>
      </c>
      <c r="D60" t="s">
        <v>2342</v>
      </c>
      <c r="E60" t="s">
        <v>2036</v>
      </c>
      <c r="F60">
        <v>202110</v>
      </c>
      <c r="G60" t="s">
        <v>2168</v>
      </c>
      <c r="H60">
        <v>14.37</v>
      </c>
      <c r="O60">
        <v>5373</v>
      </c>
      <c r="P60" t="s">
        <v>2344</v>
      </c>
      <c r="Q60">
        <v>5697</v>
      </c>
      <c r="R60" t="s">
        <v>2342</v>
      </c>
      <c r="S60" t="s">
        <v>2036</v>
      </c>
      <c r="T60">
        <v>202202</v>
      </c>
      <c r="U60" t="s">
        <v>178</v>
      </c>
      <c r="V60">
        <v>2800</v>
      </c>
    </row>
    <row r="61" spans="1:22">
      <c r="A61">
        <v>5373</v>
      </c>
      <c r="B61" t="s">
        <v>2344</v>
      </c>
      <c r="C61">
        <v>5697</v>
      </c>
      <c r="D61" t="s">
        <v>2342</v>
      </c>
      <c r="E61" t="s">
        <v>2036</v>
      </c>
      <c r="F61">
        <v>202110</v>
      </c>
      <c r="G61" t="s">
        <v>2171</v>
      </c>
      <c r="H61">
        <v>404043.3</v>
      </c>
      <c r="O61">
        <v>5373</v>
      </c>
      <c r="P61" t="s">
        <v>2344</v>
      </c>
      <c r="Q61">
        <v>5697</v>
      </c>
      <c r="R61" t="s">
        <v>2342</v>
      </c>
      <c r="S61" t="s">
        <v>2036</v>
      </c>
      <c r="T61">
        <v>202202</v>
      </c>
      <c r="U61" t="s">
        <v>180</v>
      </c>
      <c r="V61">
        <v>2000</v>
      </c>
    </row>
    <row r="62" spans="1:22">
      <c r="A62">
        <v>5373</v>
      </c>
      <c r="B62" t="s">
        <v>2344</v>
      </c>
      <c r="C62">
        <v>5697</v>
      </c>
      <c r="D62" t="s">
        <v>2342</v>
      </c>
      <c r="E62" t="s">
        <v>2036</v>
      </c>
      <c r="F62">
        <v>202111</v>
      </c>
      <c r="G62" t="s">
        <v>190</v>
      </c>
      <c r="H62">
        <v>480774</v>
      </c>
      <c r="O62">
        <v>5373</v>
      </c>
      <c r="P62" t="s">
        <v>2344</v>
      </c>
      <c r="Q62">
        <v>5697</v>
      </c>
      <c r="R62" t="s">
        <v>2342</v>
      </c>
      <c r="S62" t="s">
        <v>2036</v>
      </c>
      <c r="T62">
        <v>202202</v>
      </c>
      <c r="U62" t="s">
        <v>182</v>
      </c>
      <c r="V62">
        <v>856482</v>
      </c>
    </row>
    <row r="63" spans="1:22">
      <c r="A63">
        <v>5373</v>
      </c>
      <c r="B63" t="s">
        <v>2344</v>
      </c>
      <c r="C63">
        <v>5697</v>
      </c>
      <c r="D63" t="s">
        <v>2342</v>
      </c>
      <c r="E63" t="s">
        <v>2036</v>
      </c>
      <c r="F63">
        <v>202111</v>
      </c>
      <c r="G63" t="s">
        <v>191</v>
      </c>
      <c r="H63">
        <v>62179</v>
      </c>
      <c r="O63">
        <v>5373</v>
      </c>
      <c r="P63" t="s">
        <v>2344</v>
      </c>
      <c r="Q63">
        <v>5697</v>
      </c>
      <c r="R63" t="s">
        <v>2342</v>
      </c>
      <c r="S63" t="s">
        <v>2036</v>
      </c>
      <c r="T63">
        <v>202202</v>
      </c>
      <c r="U63" t="s">
        <v>184</v>
      </c>
      <c r="V63">
        <v>83399</v>
      </c>
    </row>
    <row r="64" spans="1:22">
      <c r="A64">
        <v>5373</v>
      </c>
      <c r="B64" t="s">
        <v>2344</v>
      </c>
      <c r="C64">
        <v>5697</v>
      </c>
      <c r="D64" t="s">
        <v>2342</v>
      </c>
      <c r="E64" t="s">
        <v>2036</v>
      </c>
      <c r="F64">
        <v>202111</v>
      </c>
      <c r="G64" t="s">
        <v>176</v>
      </c>
      <c r="H64">
        <v>0</v>
      </c>
      <c r="O64">
        <v>5373</v>
      </c>
      <c r="P64" t="s">
        <v>2344</v>
      </c>
      <c r="Q64">
        <v>5697</v>
      </c>
      <c r="R64" t="s">
        <v>2342</v>
      </c>
      <c r="S64" t="s">
        <v>2036</v>
      </c>
      <c r="T64">
        <v>202202</v>
      </c>
      <c r="U64" t="s">
        <v>186</v>
      </c>
      <c r="V64">
        <v>18619</v>
      </c>
    </row>
    <row r="65" spans="1:22">
      <c r="A65">
        <v>5373</v>
      </c>
      <c r="B65" t="s">
        <v>2344</v>
      </c>
      <c r="C65">
        <v>5697</v>
      </c>
      <c r="D65" t="s">
        <v>2342</v>
      </c>
      <c r="E65" t="s">
        <v>2036</v>
      </c>
      <c r="F65">
        <v>202111</v>
      </c>
      <c r="G65" t="s">
        <v>178</v>
      </c>
      <c r="H65">
        <v>1850</v>
      </c>
      <c r="O65">
        <v>5373</v>
      </c>
      <c r="P65" t="s">
        <v>2344</v>
      </c>
      <c r="Q65">
        <v>5697</v>
      </c>
      <c r="R65" t="s">
        <v>2342</v>
      </c>
      <c r="S65" t="s">
        <v>2036</v>
      </c>
      <c r="T65">
        <v>202202</v>
      </c>
      <c r="U65" t="s">
        <v>190</v>
      </c>
      <c r="V65">
        <v>406796</v>
      </c>
    </row>
    <row r="66" spans="1:22">
      <c r="A66">
        <v>5373</v>
      </c>
      <c r="B66" t="s">
        <v>2344</v>
      </c>
      <c r="C66">
        <v>5697</v>
      </c>
      <c r="D66" t="s">
        <v>2342</v>
      </c>
      <c r="E66" t="s">
        <v>2036</v>
      </c>
      <c r="F66">
        <v>202111</v>
      </c>
      <c r="G66" t="s">
        <v>180</v>
      </c>
      <c r="H66">
        <v>1650</v>
      </c>
      <c r="O66">
        <v>5373</v>
      </c>
      <c r="P66" t="s">
        <v>2344</v>
      </c>
      <c r="Q66">
        <v>5697</v>
      </c>
      <c r="R66" t="s">
        <v>2342</v>
      </c>
      <c r="S66" t="s">
        <v>2036</v>
      </c>
      <c r="T66">
        <v>202202</v>
      </c>
      <c r="U66" t="s">
        <v>191</v>
      </c>
      <c r="V66">
        <v>58975</v>
      </c>
    </row>
    <row r="67" spans="1:22">
      <c r="A67">
        <v>5373</v>
      </c>
      <c r="B67" t="s">
        <v>2344</v>
      </c>
      <c r="C67">
        <v>5697</v>
      </c>
      <c r="D67" t="s">
        <v>2342</v>
      </c>
      <c r="E67" t="s">
        <v>2036</v>
      </c>
      <c r="F67">
        <v>202111</v>
      </c>
      <c r="G67" t="s">
        <v>182</v>
      </c>
      <c r="H67">
        <v>480774</v>
      </c>
      <c r="O67">
        <v>5373</v>
      </c>
      <c r="P67" t="s">
        <v>2344</v>
      </c>
      <c r="Q67">
        <v>5697</v>
      </c>
      <c r="R67" t="s">
        <v>2342</v>
      </c>
      <c r="S67" t="s">
        <v>2036</v>
      </c>
      <c r="T67">
        <v>202202</v>
      </c>
      <c r="U67" t="s">
        <v>178</v>
      </c>
      <c r="V67">
        <v>1850</v>
      </c>
    </row>
    <row r="68" spans="1:22">
      <c r="A68">
        <v>5373</v>
      </c>
      <c r="B68" t="s">
        <v>2344</v>
      </c>
      <c r="C68">
        <v>5697</v>
      </c>
      <c r="D68" t="s">
        <v>2342</v>
      </c>
      <c r="E68" t="s">
        <v>2036</v>
      </c>
      <c r="F68">
        <v>202111</v>
      </c>
      <c r="G68" t="s">
        <v>184</v>
      </c>
      <c r="H68">
        <v>62179</v>
      </c>
      <c r="O68">
        <v>5373</v>
      </c>
      <c r="P68" t="s">
        <v>2344</v>
      </c>
      <c r="Q68">
        <v>5697</v>
      </c>
      <c r="R68" t="s">
        <v>2342</v>
      </c>
      <c r="S68" t="s">
        <v>2036</v>
      </c>
      <c r="T68">
        <v>202202</v>
      </c>
      <c r="U68" t="s">
        <v>180</v>
      </c>
      <c r="V68">
        <v>1650</v>
      </c>
    </row>
    <row r="69" spans="1:22">
      <c r="A69">
        <v>5373</v>
      </c>
      <c r="B69" t="s">
        <v>2344</v>
      </c>
      <c r="C69">
        <v>5697</v>
      </c>
      <c r="D69" t="s">
        <v>2342</v>
      </c>
      <c r="E69" t="s">
        <v>2036</v>
      </c>
      <c r="F69">
        <v>202111</v>
      </c>
      <c r="G69" t="s">
        <v>192</v>
      </c>
      <c r="H69">
        <v>0</v>
      </c>
      <c r="O69">
        <v>5373</v>
      </c>
      <c r="P69" t="s">
        <v>2344</v>
      </c>
      <c r="Q69">
        <v>5697</v>
      </c>
      <c r="R69" t="s">
        <v>2342</v>
      </c>
      <c r="S69" t="s">
        <v>2036</v>
      </c>
      <c r="T69">
        <v>202202</v>
      </c>
      <c r="U69" t="s">
        <v>182</v>
      </c>
      <c r="V69">
        <v>406796</v>
      </c>
    </row>
    <row r="70" spans="1:22">
      <c r="A70">
        <v>5373</v>
      </c>
      <c r="B70" t="s">
        <v>2344</v>
      </c>
      <c r="C70">
        <v>5697</v>
      </c>
      <c r="D70" t="s">
        <v>2342</v>
      </c>
      <c r="E70" t="s">
        <v>2036</v>
      </c>
      <c r="F70">
        <v>202111</v>
      </c>
      <c r="G70" t="s">
        <v>2170</v>
      </c>
      <c r="H70">
        <v>8902.36</v>
      </c>
      <c r="O70">
        <v>5373</v>
      </c>
      <c r="P70" t="s">
        <v>2344</v>
      </c>
      <c r="Q70">
        <v>5697</v>
      </c>
      <c r="R70" t="s">
        <v>2342</v>
      </c>
      <c r="S70" t="s">
        <v>2036</v>
      </c>
      <c r="T70">
        <v>202202</v>
      </c>
      <c r="U70" t="s">
        <v>184</v>
      </c>
      <c r="V70">
        <v>58975</v>
      </c>
    </row>
    <row r="71" spans="1:22">
      <c r="A71">
        <v>5373</v>
      </c>
      <c r="B71" t="s">
        <v>2344</v>
      </c>
      <c r="C71">
        <v>5697</v>
      </c>
      <c r="D71" t="s">
        <v>2342</v>
      </c>
      <c r="E71" t="s">
        <v>2036</v>
      </c>
      <c r="F71">
        <v>202111</v>
      </c>
      <c r="G71" t="s">
        <v>186</v>
      </c>
      <c r="H71">
        <v>0</v>
      </c>
      <c r="O71">
        <v>5373</v>
      </c>
      <c r="P71" t="s">
        <v>2344</v>
      </c>
      <c r="Q71">
        <v>5697</v>
      </c>
      <c r="R71" t="s">
        <v>2342</v>
      </c>
      <c r="S71" t="s">
        <v>2036</v>
      </c>
      <c r="T71">
        <v>202202</v>
      </c>
      <c r="U71" t="s">
        <v>186</v>
      </c>
      <c r="V71">
        <v>0</v>
      </c>
    </row>
    <row r="72" spans="1:22">
      <c r="A72">
        <v>5373</v>
      </c>
      <c r="B72" t="s">
        <v>2344</v>
      </c>
      <c r="C72">
        <v>5697</v>
      </c>
      <c r="D72" t="s">
        <v>2342</v>
      </c>
      <c r="E72" t="s">
        <v>2036</v>
      </c>
      <c r="F72">
        <v>202111</v>
      </c>
      <c r="G72" t="s">
        <v>2169</v>
      </c>
      <c r="H72">
        <v>302.83999999999997</v>
      </c>
      <c r="O72">
        <v>5373</v>
      </c>
      <c r="P72" t="s">
        <v>2344</v>
      </c>
      <c r="Q72">
        <v>5697</v>
      </c>
      <c r="R72" t="s">
        <v>2342</v>
      </c>
      <c r="S72" t="s">
        <v>2036</v>
      </c>
      <c r="T72">
        <v>202203</v>
      </c>
      <c r="U72" t="s">
        <v>190</v>
      </c>
      <c r="V72">
        <v>432910</v>
      </c>
    </row>
    <row r="73" spans="1:22">
      <c r="A73">
        <v>5373</v>
      </c>
      <c r="B73" t="s">
        <v>2344</v>
      </c>
      <c r="C73">
        <v>5697</v>
      </c>
      <c r="D73" t="s">
        <v>2342</v>
      </c>
      <c r="E73" t="s">
        <v>2036</v>
      </c>
      <c r="F73">
        <v>202111</v>
      </c>
      <c r="G73" t="s">
        <v>2166</v>
      </c>
      <c r="H73">
        <v>11.83</v>
      </c>
      <c r="O73">
        <v>5373</v>
      </c>
      <c r="P73" t="s">
        <v>2344</v>
      </c>
      <c r="Q73">
        <v>5697</v>
      </c>
      <c r="R73" t="s">
        <v>2342</v>
      </c>
      <c r="S73" t="s">
        <v>2036</v>
      </c>
      <c r="T73">
        <v>202203</v>
      </c>
      <c r="U73" t="s">
        <v>191</v>
      </c>
      <c r="V73">
        <v>61231</v>
      </c>
    </row>
    <row r="74" spans="1:22">
      <c r="A74">
        <v>5373</v>
      </c>
      <c r="B74" t="s">
        <v>2344</v>
      </c>
      <c r="C74">
        <v>5697</v>
      </c>
      <c r="D74" t="s">
        <v>2342</v>
      </c>
      <c r="E74" t="s">
        <v>2036</v>
      </c>
      <c r="F74">
        <v>202111</v>
      </c>
      <c r="G74" t="s">
        <v>2167</v>
      </c>
      <c r="H74">
        <v>21.22</v>
      </c>
      <c r="O74">
        <v>5373</v>
      </c>
      <c r="P74" t="s">
        <v>2344</v>
      </c>
      <c r="Q74">
        <v>5697</v>
      </c>
      <c r="R74" t="s">
        <v>2342</v>
      </c>
      <c r="S74" t="s">
        <v>2036</v>
      </c>
      <c r="T74">
        <v>202203</v>
      </c>
      <c r="U74" t="s">
        <v>178</v>
      </c>
      <c r="V74">
        <v>1850</v>
      </c>
    </row>
    <row r="75" spans="1:22">
      <c r="A75">
        <v>5373</v>
      </c>
      <c r="B75" t="s">
        <v>2344</v>
      </c>
      <c r="C75">
        <v>5697</v>
      </c>
      <c r="D75" t="s">
        <v>2342</v>
      </c>
      <c r="E75" t="s">
        <v>2036</v>
      </c>
      <c r="F75">
        <v>202111</v>
      </c>
      <c r="G75" t="s">
        <v>2168</v>
      </c>
      <c r="H75">
        <v>14.37</v>
      </c>
      <c r="O75">
        <v>5373</v>
      </c>
      <c r="P75" t="s">
        <v>2344</v>
      </c>
      <c r="Q75">
        <v>5697</v>
      </c>
      <c r="R75" t="s">
        <v>2342</v>
      </c>
      <c r="S75" t="s">
        <v>2036</v>
      </c>
      <c r="T75">
        <v>202203</v>
      </c>
      <c r="U75" t="s">
        <v>180</v>
      </c>
      <c r="V75">
        <v>1650</v>
      </c>
    </row>
    <row r="76" spans="1:22">
      <c r="A76">
        <v>5373</v>
      </c>
      <c r="B76" t="s">
        <v>2344</v>
      </c>
      <c r="C76">
        <v>5697</v>
      </c>
      <c r="D76" t="s">
        <v>2342</v>
      </c>
      <c r="E76" t="s">
        <v>2036</v>
      </c>
      <c r="F76">
        <v>202111</v>
      </c>
      <c r="G76" t="s">
        <v>2171</v>
      </c>
      <c r="H76">
        <v>238030.96</v>
      </c>
      <c r="O76">
        <v>5373</v>
      </c>
      <c r="P76" t="s">
        <v>2344</v>
      </c>
      <c r="Q76">
        <v>5697</v>
      </c>
      <c r="R76" t="s">
        <v>2342</v>
      </c>
      <c r="S76" t="s">
        <v>2036</v>
      </c>
      <c r="T76">
        <v>202203</v>
      </c>
      <c r="U76" t="s">
        <v>182</v>
      </c>
      <c r="V76">
        <v>432910</v>
      </c>
    </row>
    <row r="77" spans="1:22">
      <c r="A77">
        <v>5373</v>
      </c>
      <c r="B77" t="s">
        <v>2344</v>
      </c>
      <c r="C77">
        <v>5697</v>
      </c>
      <c r="D77" t="s">
        <v>2342</v>
      </c>
      <c r="E77" t="s">
        <v>2036</v>
      </c>
      <c r="F77">
        <v>202111</v>
      </c>
      <c r="G77" t="s">
        <v>190</v>
      </c>
      <c r="H77">
        <v>954619</v>
      </c>
      <c r="O77">
        <v>5373</v>
      </c>
      <c r="P77" t="s">
        <v>2344</v>
      </c>
      <c r="Q77">
        <v>5697</v>
      </c>
      <c r="R77" t="s">
        <v>2342</v>
      </c>
      <c r="S77" t="s">
        <v>2036</v>
      </c>
      <c r="T77">
        <v>202203</v>
      </c>
      <c r="U77" t="s">
        <v>184</v>
      </c>
      <c r="V77">
        <v>61231</v>
      </c>
    </row>
    <row r="78" spans="1:22">
      <c r="A78">
        <v>5373</v>
      </c>
      <c r="B78" t="s">
        <v>2344</v>
      </c>
      <c r="C78">
        <v>5697</v>
      </c>
      <c r="D78" t="s">
        <v>2342</v>
      </c>
      <c r="E78" t="s">
        <v>2036</v>
      </c>
      <c r="F78">
        <v>202111</v>
      </c>
      <c r="G78" t="s">
        <v>191</v>
      </c>
      <c r="H78">
        <v>85771</v>
      </c>
      <c r="O78">
        <v>5373</v>
      </c>
      <c r="P78" t="s">
        <v>2344</v>
      </c>
      <c r="Q78">
        <v>5697</v>
      </c>
      <c r="R78" t="s">
        <v>2342</v>
      </c>
      <c r="S78" t="s">
        <v>2036</v>
      </c>
      <c r="T78">
        <v>202203</v>
      </c>
      <c r="U78" t="s">
        <v>186</v>
      </c>
      <c r="V78">
        <v>0</v>
      </c>
    </row>
    <row r="79" spans="1:22">
      <c r="A79">
        <v>5373</v>
      </c>
      <c r="B79" t="s">
        <v>2344</v>
      </c>
      <c r="C79">
        <v>5697</v>
      </c>
      <c r="D79" t="s">
        <v>2342</v>
      </c>
      <c r="E79" t="s">
        <v>2036</v>
      </c>
      <c r="F79">
        <v>202111</v>
      </c>
      <c r="G79" t="s">
        <v>176</v>
      </c>
      <c r="H79">
        <v>0</v>
      </c>
      <c r="O79">
        <v>5373</v>
      </c>
      <c r="P79" t="s">
        <v>2344</v>
      </c>
      <c r="Q79">
        <v>5697</v>
      </c>
      <c r="R79" t="s">
        <v>2342</v>
      </c>
      <c r="S79" t="s">
        <v>2036</v>
      </c>
      <c r="T79">
        <v>202203</v>
      </c>
      <c r="U79" t="s">
        <v>190</v>
      </c>
      <c r="V79">
        <v>1039419</v>
      </c>
    </row>
    <row r="80" spans="1:22">
      <c r="A80">
        <v>5373</v>
      </c>
      <c r="B80" t="s">
        <v>2344</v>
      </c>
      <c r="C80">
        <v>5697</v>
      </c>
      <c r="D80" t="s">
        <v>2342</v>
      </c>
      <c r="E80" t="s">
        <v>2036</v>
      </c>
      <c r="F80">
        <v>202111</v>
      </c>
      <c r="G80" t="s">
        <v>178</v>
      </c>
      <c r="H80">
        <v>2650</v>
      </c>
      <c r="O80">
        <v>5373</v>
      </c>
      <c r="P80" t="s">
        <v>2344</v>
      </c>
      <c r="Q80">
        <v>5697</v>
      </c>
      <c r="R80" t="s">
        <v>2342</v>
      </c>
      <c r="S80" t="s">
        <v>2036</v>
      </c>
      <c r="T80">
        <v>202203</v>
      </c>
      <c r="U80" t="s">
        <v>191</v>
      </c>
      <c r="V80">
        <v>101972</v>
      </c>
    </row>
    <row r="81" spans="1:22">
      <c r="A81">
        <v>5373</v>
      </c>
      <c r="B81" t="s">
        <v>2344</v>
      </c>
      <c r="C81">
        <v>5697</v>
      </c>
      <c r="D81" t="s">
        <v>2342</v>
      </c>
      <c r="E81" t="s">
        <v>2036</v>
      </c>
      <c r="F81">
        <v>202111</v>
      </c>
      <c r="G81" t="s">
        <v>180</v>
      </c>
      <c r="H81">
        <v>1888.32</v>
      </c>
      <c r="O81">
        <v>5373</v>
      </c>
      <c r="P81" t="s">
        <v>2344</v>
      </c>
      <c r="Q81">
        <v>5697</v>
      </c>
      <c r="R81" t="s">
        <v>2342</v>
      </c>
      <c r="S81" t="s">
        <v>2036</v>
      </c>
      <c r="T81">
        <v>202203</v>
      </c>
      <c r="U81" t="s">
        <v>178</v>
      </c>
      <c r="V81">
        <v>2800</v>
      </c>
    </row>
    <row r="82" spans="1:22">
      <c r="A82">
        <v>5373</v>
      </c>
      <c r="B82" t="s">
        <v>2344</v>
      </c>
      <c r="C82">
        <v>5697</v>
      </c>
      <c r="D82" t="s">
        <v>2342</v>
      </c>
      <c r="E82" t="s">
        <v>2036</v>
      </c>
      <c r="F82">
        <v>202111</v>
      </c>
      <c r="G82" t="s">
        <v>182</v>
      </c>
      <c r="H82">
        <v>990698</v>
      </c>
      <c r="O82">
        <v>5373</v>
      </c>
      <c r="P82" t="s">
        <v>2344</v>
      </c>
      <c r="Q82">
        <v>5697</v>
      </c>
      <c r="R82" t="s">
        <v>2342</v>
      </c>
      <c r="S82" t="s">
        <v>2036</v>
      </c>
      <c r="T82">
        <v>202203</v>
      </c>
      <c r="U82" t="s">
        <v>180</v>
      </c>
      <c r="V82">
        <v>2000</v>
      </c>
    </row>
    <row r="83" spans="1:22">
      <c r="A83">
        <v>5373</v>
      </c>
      <c r="B83" t="s">
        <v>2344</v>
      </c>
      <c r="C83">
        <v>5697</v>
      </c>
      <c r="D83" t="s">
        <v>2342</v>
      </c>
      <c r="E83" t="s">
        <v>2036</v>
      </c>
      <c r="F83">
        <v>202111</v>
      </c>
      <c r="G83" t="s">
        <v>184</v>
      </c>
      <c r="H83">
        <v>85771</v>
      </c>
      <c r="O83">
        <v>5373</v>
      </c>
      <c r="P83" t="s">
        <v>2344</v>
      </c>
      <c r="Q83">
        <v>5697</v>
      </c>
      <c r="R83" t="s">
        <v>2342</v>
      </c>
      <c r="S83" t="s">
        <v>2036</v>
      </c>
      <c r="T83">
        <v>202203</v>
      </c>
      <c r="U83" t="s">
        <v>182</v>
      </c>
      <c r="V83">
        <v>1059542</v>
      </c>
    </row>
    <row r="84" spans="1:22">
      <c r="A84">
        <v>5373</v>
      </c>
      <c r="B84" t="s">
        <v>2344</v>
      </c>
      <c r="C84">
        <v>5697</v>
      </c>
      <c r="D84" t="s">
        <v>2342</v>
      </c>
      <c r="E84" t="s">
        <v>2036</v>
      </c>
      <c r="F84">
        <v>202111</v>
      </c>
      <c r="G84" t="s">
        <v>192</v>
      </c>
      <c r="H84">
        <v>0</v>
      </c>
      <c r="O84">
        <v>5373</v>
      </c>
      <c r="P84" t="s">
        <v>2344</v>
      </c>
      <c r="Q84">
        <v>5697</v>
      </c>
      <c r="R84" t="s">
        <v>2342</v>
      </c>
      <c r="S84" t="s">
        <v>2036</v>
      </c>
      <c r="T84">
        <v>202203</v>
      </c>
      <c r="U84" t="s">
        <v>184</v>
      </c>
      <c r="V84">
        <v>101972</v>
      </c>
    </row>
    <row r="85" spans="1:22">
      <c r="A85">
        <v>5373</v>
      </c>
      <c r="B85" t="s">
        <v>2344</v>
      </c>
      <c r="C85">
        <v>5697</v>
      </c>
      <c r="D85" t="s">
        <v>2342</v>
      </c>
      <c r="E85" t="s">
        <v>2036</v>
      </c>
      <c r="F85">
        <v>202111</v>
      </c>
      <c r="G85" t="s">
        <v>2170</v>
      </c>
      <c r="H85">
        <v>15617.4</v>
      </c>
      <c r="O85">
        <v>5373</v>
      </c>
      <c r="P85" t="s">
        <v>2344</v>
      </c>
      <c r="Q85">
        <v>5697</v>
      </c>
      <c r="R85" t="s">
        <v>2342</v>
      </c>
      <c r="S85" t="s">
        <v>2036</v>
      </c>
      <c r="T85">
        <v>202203</v>
      </c>
      <c r="U85" t="s">
        <v>186</v>
      </c>
      <c r="V85">
        <v>20123</v>
      </c>
    </row>
    <row r="86" spans="1:22">
      <c r="A86">
        <v>5373</v>
      </c>
      <c r="B86" t="s">
        <v>2344</v>
      </c>
      <c r="C86">
        <v>5697</v>
      </c>
      <c r="D86" t="s">
        <v>2342</v>
      </c>
      <c r="E86" t="s">
        <v>2036</v>
      </c>
      <c r="F86">
        <v>202111</v>
      </c>
      <c r="G86" t="s">
        <v>186</v>
      </c>
      <c r="H86">
        <v>36079</v>
      </c>
      <c r="O86">
        <v>5373</v>
      </c>
      <c r="P86" t="s">
        <v>2344</v>
      </c>
      <c r="Q86">
        <v>5697</v>
      </c>
      <c r="R86" t="s">
        <v>2342</v>
      </c>
      <c r="S86" t="s">
        <v>2036</v>
      </c>
      <c r="T86">
        <v>202204</v>
      </c>
      <c r="U86" t="s">
        <v>190</v>
      </c>
      <c r="V86">
        <v>988113</v>
      </c>
    </row>
    <row r="87" spans="1:22">
      <c r="A87">
        <v>5373</v>
      </c>
      <c r="B87" t="s">
        <v>2344</v>
      </c>
      <c r="C87">
        <v>5697</v>
      </c>
      <c r="D87" t="s">
        <v>2342</v>
      </c>
      <c r="E87" t="s">
        <v>2036</v>
      </c>
      <c r="F87">
        <v>202111</v>
      </c>
      <c r="G87" t="s">
        <v>2169</v>
      </c>
      <c r="H87">
        <v>302.83999999999997</v>
      </c>
      <c r="O87">
        <v>5373</v>
      </c>
      <c r="P87" t="s">
        <v>2344</v>
      </c>
      <c r="Q87">
        <v>5697</v>
      </c>
      <c r="R87" t="s">
        <v>2342</v>
      </c>
      <c r="S87" t="s">
        <v>2036</v>
      </c>
      <c r="T87">
        <v>202204</v>
      </c>
      <c r="U87" t="s">
        <v>191</v>
      </c>
      <c r="V87">
        <v>89884</v>
      </c>
    </row>
    <row r="88" spans="1:22">
      <c r="A88">
        <v>5373</v>
      </c>
      <c r="B88" t="s">
        <v>2344</v>
      </c>
      <c r="C88">
        <v>5697</v>
      </c>
      <c r="D88" t="s">
        <v>2342</v>
      </c>
      <c r="E88" t="s">
        <v>2036</v>
      </c>
      <c r="F88">
        <v>202111</v>
      </c>
      <c r="G88" t="s">
        <v>2166</v>
      </c>
      <c r="H88">
        <v>11.83</v>
      </c>
      <c r="O88">
        <v>5373</v>
      </c>
      <c r="P88" t="s">
        <v>2344</v>
      </c>
      <c r="Q88">
        <v>5697</v>
      </c>
      <c r="R88" t="s">
        <v>2342</v>
      </c>
      <c r="S88" t="s">
        <v>2036</v>
      </c>
      <c r="T88">
        <v>202204</v>
      </c>
      <c r="U88" t="s">
        <v>178</v>
      </c>
      <c r="V88">
        <v>2800</v>
      </c>
    </row>
    <row r="89" spans="1:22">
      <c r="A89">
        <v>5373</v>
      </c>
      <c r="B89" t="s">
        <v>2344</v>
      </c>
      <c r="C89">
        <v>5697</v>
      </c>
      <c r="D89" t="s">
        <v>2342</v>
      </c>
      <c r="E89" t="s">
        <v>2036</v>
      </c>
      <c r="F89">
        <v>202111</v>
      </c>
      <c r="G89" t="s">
        <v>2167</v>
      </c>
      <c r="H89">
        <v>21.22</v>
      </c>
      <c r="O89">
        <v>5373</v>
      </c>
      <c r="P89" t="s">
        <v>2344</v>
      </c>
      <c r="Q89">
        <v>5697</v>
      </c>
      <c r="R89" t="s">
        <v>2342</v>
      </c>
      <c r="S89" t="s">
        <v>2036</v>
      </c>
      <c r="T89">
        <v>202204</v>
      </c>
      <c r="U89" t="s">
        <v>180</v>
      </c>
      <c r="V89">
        <v>2000</v>
      </c>
    </row>
    <row r="90" spans="1:22">
      <c r="A90">
        <v>5373</v>
      </c>
      <c r="B90" t="s">
        <v>2344</v>
      </c>
      <c r="C90">
        <v>5697</v>
      </c>
      <c r="D90" t="s">
        <v>2342</v>
      </c>
      <c r="E90" t="s">
        <v>2036</v>
      </c>
      <c r="F90">
        <v>202111</v>
      </c>
      <c r="G90" t="s">
        <v>2168</v>
      </c>
      <c r="H90">
        <v>14.37</v>
      </c>
      <c r="O90">
        <v>5373</v>
      </c>
      <c r="P90" t="s">
        <v>2344</v>
      </c>
      <c r="Q90">
        <v>5697</v>
      </c>
      <c r="R90" t="s">
        <v>2342</v>
      </c>
      <c r="S90" t="s">
        <v>2036</v>
      </c>
      <c r="T90">
        <v>202204</v>
      </c>
      <c r="U90" t="s">
        <v>182</v>
      </c>
      <c r="V90">
        <v>1007475</v>
      </c>
    </row>
    <row r="91" spans="1:22">
      <c r="A91">
        <v>5373</v>
      </c>
      <c r="B91" t="s">
        <v>2344</v>
      </c>
      <c r="C91">
        <v>5697</v>
      </c>
      <c r="D91" t="s">
        <v>2342</v>
      </c>
      <c r="E91" t="s">
        <v>2036</v>
      </c>
      <c r="F91">
        <v>202111</v>
      </c>
      <c r="G91" t="s">
        <v>2171</v>
      </c>
      <c r="H91">
        <v>417577.59</v>
      </c>
      <c r="O91">
        <v>5373</v>
      </c>
      <c r="P91" t="s">
        <v>2344</v>
      </c>
      <c r="Q91">
        <v>5697</v>
      </c>
      <c r="R91" t="s">
        <v>2342</v>
      </c>
      <c r="S91" t="s">
        <v>2036</v>
      </c>
      <c r="T91">
        <v>202204</v>
      </c>
      <c r="U91" t="s">
        <v>184</v>
      </c>
      <c r="V91">
        <v>89884</v>
      </c>
    </row>
    <row r="92" spans="1:22">
      <c r="A92">
        <v>5373</v>
      </c>
      <c r="B92" t="s">
        <v>2344</v>
      </c>
      <c r="C92">
        <v>5697</v>
      </c>
      <c r="D92" t="s">
        <v>2342</v>
      </c>
      <c r="E92" t="s">
        <v>2036</v>
      </c>
      <c r="F92">
        <v>202112</v>
      </c>
      <c r="G92" t="s">
        <v>190</v>
      </c>
      <c r="H92">
        <v>940967</v>
      </c>
      <c r="O92">
        <v>5373</v>
      </c>
      <c r="P92" t="s">
        <v>2344</v>
      </c>
      <c r="Q92">
        <v>5697</v>
      </c>
      <c r="R92" t="s">
        <v>2342</v>
      </c>
      <c r="S92" t="s">
        <v>2036</v>
      </c>
      <c r="T92">
        <v>202204</v>
      </c>
      <c r="U92" t="s">
        <v>186</v>
      </c>
      <c r="V92">
        <v>19362</v>
      </c>
    </row>
    <row r="93" spans="1:22">
      <c r="A93">
        <v>5373</v>
      </c>
      <c r="B93" t="s">
        <v>2344</v>
      </c>
      <c r="C93">
        <v>5697</v>
      </c>
      <c r="D93" t="s">
        <v>2342</v>
      </c>
      <c r="E93" t="s">
        <v>2036</v>
      </c>
      <c r="F93">
        <v>202112</v>
      </c>
      <c r="G93" t="s">
        <v>191</v>
      </c>
      <c r="H93">
        <v>98066</v>
      </c>
      <c r="O93">
        <v>5373</v>
      </c>
      <c r="P93" t="s">
        <v>2344</v>
      </c>
      <c r="Q93">
        <v>5697</v>
      </c>
      <c r="R93" t="s">
        <v>2342</v>
      </c>
      <c r="S93" t="s">
        <v>2036</v>
      </c>
      <c r="T93">
        <v>202204</v>
      </c>
      <c r="U93" t="s">
        <v>190</v>
      </c>
      <c r="V93">
        <v>417536</v>
      </c>
    </row>
    <row r="94" spans="1:22">
      <c r="A94">
        <v>5373</v>
      </c>
      <c r="B94" t="s">
        <v>2344</v>
      </c>
      <c r="C94">
        <v>5697</v>
      </c>
      <c r="D94" t="s">
        <v>2342</v>
      </c>
      <c r="E94" t="s">
        <v>2036</v>
      </c>
      <c r="F94">
        <v>202112</v>
      </c>
      <c r="G94" t="s">
        <v>176</v>
      </c>
      <c r="H94">
        <v>0</v>
      </c>
      <c r="O94">
        <v>5373</v>
      </c>
      <c r="P94" t="s">
        <v>2344</v>
      </c>
      <c r="Q94">
        <v>5697</v>
      </c>
      <c r="R94" t="s">
        <v>2342</v>
      </c>
      <c r="S94" t="s">
        <v>2036</v>
      </c>
      <c r="T94">
        <v>202204</v>
      </c>
      <c r="U94" t="s">
        <v>191</v>
      </c>
      <c r="V94">
        <v>52951</v>
      </c>
    </row>
    <row r="95" spans="1:22">
      <c r="A95">
        <v>5373</v>
      </c>
      <c r="B95" t="s">
        <v>2344</v>
      </c>
      <c r="C95">
        <v>5697</v>
      </c>
      <c r="D95" t="s">
        <v>2342</v>
      </c>
      <c r="E95" t="s">
        <v>2036</v>
      </c>
      <c r="F95">
        <v>202112</v>
      </c>
      <c r="G95" t="s">
        <v>178</v>
      </c>
      <c r="H95">
        <v>2650</v>
      </c>
      <c r="O95">
        <v>5373</v>
      </c>
      <c r="P95" t="s">
        <v>2344</v>
      </c>
      <c r="Q95">
        <v>5697</v>
      </c>
      <c r="R95" t="s">
        <v>2342</v>
      </c>
      <c r="S95" t="s">
        <v>2036</v>
      </c>
      <c r="T95">
        <v>202204</v>
      </c>
      <c r="U95" t="s">
        <v>178</v>
      </c>
      <c r="V95">
        <v>1850</v>
      </c>
    </row>
    <row r="96" spans="1:22">
      <c r="A96">
        <v>5373</v>
      </c>
      <c r="B96" t="s">
        <v>2344</v>
      </c>
      <c r="C96">
        <v>5697</v>
      </c>
      <c r="D96" t="s">
        <v>2342</v>
      </c>
      <c r="E96" t="s">
        <v>2036</v>
      </c>
      <c r="F96">
        <v>202112</v>
      </c>
      <c r="G96" t="s">
        <v>180</v>
      </c>
      <c r="H96">
        <v>1866.48</v>
      </c>
      <c r="O96">
        <v>5373</v>
      </c>
      <c r="P96" t="s">
        <v>2344</v>
      </c>
      <c r="Q96">
        <v>5697</v>
      </c>
      <c r="R96" t="s">
        <v>2342</v>
      </c>
      <c r="S96" t="s">
        <v>2036</v>
      </c>
      <c r="T96">
        <v>202204</v>
      </c>
      <c r="U96" t="s">
        <v>180</v>
      </c>
      <c r="V96">
        <v>1650</v>
      </c>
    </row>
    <row r="97" spans="1:22">
      <c r="A97">
        <v>5373</v>
      </c>
      <c r="B97" t="s">
        <v>2344</v>
      </c>
      <c r="C97">
        <v>5697</v>
      </c>
      <c r="D97" t="s">
        <v>2342</v>
      </c>
      <c r="E97" t="s">
        <v>2036</v>
      </c>
      <c r="F97">
        <v>202112</v>
      </c>
      <c r="G97" t="s">
        <v>182</v>
      </c>
      <c r="H97">
        <v>973865</v>
      </c>
      <c r="O97">
        <v>5373</v>
      </c>
      <c r="P97" t="s">
        <v>2344</v>
      </c>
      <c r="Q97">
        <v>5697</v>
      </c>
      <c r="R97" t="s">
        <v>2342</v>
      </c>
      <c r="S97" t="s">
        <v>2036</v>
      </c>
      <c r="T97">
        <v>202204</v>
      </c>
      <c r="U97" t="s">
        <v>182</v>
      </c>
      <c r="V97">
        <v>417536</v>
      </c>
    </row>
    <row r="98" spans="1:22">
      <c r="A98">
        <v>5373</v>
      </c>
      <c r="B98" t="s">
        <v>2344</v>
      </c>
      <c r="C98">
        <v>5697</v>
      </c>
      <c r="D98" t="s">
        <v>2342</v>
      </c>
      <c r="E98" t="s">
        <v>2036</v>
      </c>
      <c r="F98">
        <v>202112</v>
      </c>
      <c r="G98" t="s">
        <v>184</v>
      </c>
      <c r="H98">
        <v>98066</v>
      </c>
      <c r="O98">
        <v>5373</v>
      </c>
      <c r="P98" t="s">
        <v>2344</v>
      </c>
      <c r="Q98">
        <v>5697</v>
      </c>
      <c r="R98" t="s">
        <v>2342</v>
      </c>
      <c r="S98" t="s">
        <v>2036</v>
      </c>
      <c r="T98">
        <v>202204</v>
      </c>
      <c r="U98" t="s">
        <v>184</v>
      </c>
      <c r="V98">
        <v>52951</v>
      </c>
    </row>
    <row r="99" spans="1:22">
      <c r="A99">
        <v>5373</v>
      </c>
      <c r="B99" t="s">
        <v>2344</v>
      </c>
      <c r="C99">
        <v>5697</v>
      </c>
      <c r="D99" t="s">
        <v>2342</v>
      </c>
      <c r="E99" t="s">
        <v>2036</v>
      </c>
      <c r="F99">
        <v>202112</v>
      </c>
      <c r="G99" t="s">
        <v>192</v>
      </c>
      <c r="H99">
        <v>0</v>
      </c>
      <c r="O99">
        <v>5373</v>
      </c>
      <c r="P99" t="s">
        <v>2344</v>
      </c>
      <c r="Q99">
        <v>5697</v>
      </c>
      <c r="R99" t="s">
        <v>2342</v>
      </c>
      <c r="S99" t="s">
        <v>2036</v>
      </c>
      <c r="T99">
        <v>202204</v>
      </c>
      <c r="U99" t="s">
        <v>186</v>
      </c>
      <c r="V99">
        <v>0</v>
      </c>
    </row>
    <row r="100" spans="1:22">
      <c r="A100">
        <v>5373</v>
      </c>
      <c r="B100" t="s">
        <v>2344</v>
      </c>
      <c r="C100">
        <v>5697</v>
      </c>
      <c r="D100" t="s">
        <v>2342</v>
      </c>
      <c r="E100" t="s">
        <v>2036</v>
      </c>
      <c r="F100">
        <v>202112</v>
      </c>
      <c r="G100" t="s">
        <v>2170</v>
      </c>
      <c r="H100">
        <v>15580.9</v>
      </c>
      <c r="O100">
        <v>5373</v>
      </c>
      <c r="P100" t="s">
        <v>2344</v>
      </c>
      <c r="Q100">
        <v>5697</v>
      </c>
      <c r="R100" t="s">
        <v>2342</v>
      </c>
      <c r="S100" t="s">
        <v>2036</v>
      </c>
      <c r="T100">
        <v>202205</v>
      </c>
      <c r="U100" t="s">
        <v>190</v>
      </c>
      <c r="V100">
        <v>1037311</v>
      </c>
    </row>
    <row r="101" spans="1:22">
      <c r="A101">
        <v>5373</v>
      </c>
      <c r="B101" t="s">
        <v>2344</v>
      </c>
      <c r="C101">
        <v>5697</v>
      </c>
      <c r="D101" t="s">
        <v>2342</v>
      </c>
      <c r="E101" t="s">
        <v>2036</v>
      </c>
      <c r="F101">
        <v>202112</v>
      </c>
      <c r="G101" t="s">
        <v>186</v>
      </c>
      <c r="H101">
        <v>32898</v>
      </c>
      <c r="O101">
        <v>5373</v>
      </c>
      <c r="P101" t="s">
        <v>2344</v>
      </c>
      <c r="Q101">
        <v>5697</v>
      </c>
      <c r="R101" t="s">
        <v>2342</v>
      </c>
      <c r="S101" t="s">
        <v>2036</v>
      </c>
      <c r="T101">
        <v>202205</v>
      </c>
      <c r="U101" t="s">
        <v>191</v>
      </c>
      <c r="V101">
        <v>100411</v>
      </c>
    </row>
    <row r="102" spans="1:22">
      <c r="A102">
        <v>5373</v>
      </c>
      <c r="B102" t="s">
        <v>2344</v>
      </c>
      <c r="C102">
        <v>5697</v>
      </c>
      <c r="D102" t="s">
        <v>2342</v>
      </c>
      <c r="E102" t="s">
        <v>2036</v>
      </c>
      <c r="F102">
        <v>202112</v>
      </c>
      <c r="G102" t="s">
        <v>2169</v>
      </c>
      <c r="H102">
        <v>302.83999999999997</v>
      </c>
      <c r="O102">
        <v>5373</v>
      </c>
      <c r="P102" t="s">
        <v>2344</v>
      </c>
      <c r="Q102">
        <v>5697</v>
      </c>
      <c r="R102" t="s">
        <v>2342</v>
      </c>
      <c r="S102" t="s">
        <v>2036</v>
      </c>
      <c r="T102">
        <v>202205</v>
      </c>
      <c r="U102" t="s">
        <v>178</v>
      </c>
      <c r="V102">
        <v>2800</v>
      </c>
    </row>
    <row r="103" spans="1:22">
      <c r="A103">
        <v>5373</v>
      </c>
      <c r="B103" t="s">
        <v>2344</v>
      </c>
      <c r="C103">
        <v>5697</v>
      </c>
      <c r="D103" t="s">
        <v>2342</v>
      </c>
      <c r="E103" t="s">
        <v>2036</v>
      </c>
      <c r="F103">
        <v>202112</v>
      </c>
      <c r="G103" t="s">
        <v>2166</v>
      </c>
      <c r="H103">
        <v>11.83</v>
      </c>
      <c r="O103">
        <v>5373</v>
      </c>
      <c r="P103" t="s">
        <v>2344</v>
      </c>
      <c r="Q103">
        <v>5697</v>
      </c>
      <c r="R103" t="s">
        <v>2342</v>
      </c>
      <c r="S103" t="s">
        <v>2036</v>
      </c>
      <c r="T103">
        <v>202205</v>
      </c>
      <c r="U103" t="s">
        <v>180</v>
      </c>
      <c r="V103">
        <v>2000</v>
      </c>
    </row>
    <row r="104" spans="1:22">
      <c r="A104">
        <v>5373</v>
      </c>
      <c r="B104" t="s">
        <v>2344</v>
      </c>
      <c r="C104">
        <v>5697</v>
      </c>
      <c r="D104" t="s">
        <v>2342</v>
      </c>
      <c r="E104" t="s">
        <v>2036</v>
      </c>
      <c r="F104">
        <v>202112</v>
      </c>
      <c r="G104" t="s">
        <v>2167</v>
      </c>
      <c r="H104">
        <v>21.22</v>
      </c>
      <c r="O104">
        <v>5373</v>
      </c>
      <c r="P104" t="s">
        <v>2344</v>
      </c>
      <c r="Q104">
        <v>5697</v>
      </c>
      <c r="R104" t="s">
        <v>2342</v>
      </c>
      <c r="S104" t="s">
        <v>2036</v>
      </c>
      <c r="T104">
        <v>202205</v>
      </c>
      <c r="U104" t="s">
        <v>182</v>
      </c>
      <c r="V104">
        <v>1059274</v>
      </c>
    </row>
    <row r="105" spans="1:22">
      <c r="A105">
        <v>5373</v>
      </c>
      <c r="B105" t="s">
        <v>2344</v>
      </c>
      <c r="C105">
        <v>5697</v>
      </c>
      <c r="D105" t="s">
        <v>2342</v>
      </c>
      <c r="E105" t="s">
        <v>2036</v>
      </c>
      <c r="F105">
        <v>202112</v>
      </c>
      <c r="G105" t="s">
        <v>2168</v>
      </c>
      <c r="H105">
        <v>14.37</v>
      </c>
      <c r="O105">
        <v>5373</v>
      </c>
      <c r="P105" t="s">
        <v>2344</v>
      </c>
      <c r="Q105">
        <v>5697</v>
      </c>
      <c r="R105" t="s">
        <v>2342</v>
      </c>
      <c r="S105" t="s">
        <v>2036</v>
      </c>
      <c r="T105">
        <v>202205</v>
      </c>
      <c r="U105" t="s">
        <v>184</v>
      </c>
      <c r="V105">
        <v>100411</v>
      </c>
    </row>
    <row r="106" spans="1:22">
      <c r="A106">
        <v>5373</v>
      </c>
      <c r="B106" t="s">
        <v>2344</v>
      </c>
      <c r="C106">
        <v>5697</v>
      </c>
      <c r="D106" t="s">
        <v>2342</v>
      </c>
      <c r="E106" t="s">
        <v>2036</v>
      </c>
      <c r="F106">
        <v>202112</v>
      </c>
      <c r="G106" t="s">
        <v>2171</v>
      </c>
      <c r="H106">
        <v>416601.48</v>
      </c>
      <c r="O106">
        <v>5373</v>
      </c>
      <c r="P106" t="s">
        <v>2344</v>
      </c>
      <c r="Q106">
        <v>5697</v>
      </c>
      <c r="R106" t="s">
        <v>2342</v>
      </c>
      <c r="S106" t="s">
        <v>2036</v>
      </c>
      <c r="T106">
        <v>202205</v>
      </c>
      <c r="U106" t="s">
        <v>186</v>
      </c>
      <c r="V106">
        <v>21963</v>
      </c>
    </row>
    <row r="107" spans="1:22">
      <c r="A107">
        <v>5373</v>
      </c>
      <c r="B107" t="s">
        <v>2344</v>
      </c>
      <c r="C107">
        <v>5697</v>
      </c>
      <c r="D107" t="s">
        <v>2342</v>
      </c>
      <c r="E107" t="s">
        <v>2036</v>
      </c>
      <c r="F107">
        <v>202112</v>
      </c>
      <c r="G107" t="s">
        <v>190</v>
      </c>
      <c r="H107">
        <v>479401</v>
      </c>
      <c r="O107">
        <v>5373</v>
      </c>
      <c r="P107" t="s">
        <v>2344</v>
      </c>
      <c r="Q107">
        <v>5697</v>
      </c>
      <c r="R107" t="s">
        <v>2342</v>
      </c>
      <c r="S107" t="s">
        <v>2036</v>
      </c>
      <c r="T107">
        <v>202205</v>
      </c>
      <c r="U107" t="s">
        <v>190</v>
      </c>
      <c r="V107">
        <v>407258</v>
      </c>
    </row>
    <row r="108" spans="1:22">
      <c r="A108">
        <v>5373</v>
      </c>
      <c r="B108" t="s">
        <v>2344</v>
      </c>
      <c r="C108">
        <v>5697</v>
      </c>
      <c r="D108" t="s">
        <v>2342</v>
      </c>
      <c r="E108" t="s">
        <v>2036</v>
      </c>
      <c r="F108">
        <v>202112</v>
      </c>
      <c r="G108" t="s">
        <v>191</v>
      </c>
      <c r="H108">
        <v>68357</v>
      </c>
      <c r="O108">
        <v>5373</v>
      </c>
      <c r="P108" t="s">
        <v>2344</v>
      </c>
      <c r="Q108">
        <v>5697</v>
      </c>
      <c r="R108" t="s">
        <v>2342</v>
      </c>
      <c r="S108" t="s">
        <v>2036</v>
      </c>
      <c r="T108">
        <v>202205</v>
      </c>
      <c r="U108" t="s">
        <v>191</v>
      </c>
      <c r="V108">
        <v>58648</v>
      </c>
    </row>
    <row r="109" spans="1:22">
      <c r="A109">
        <v>5373</v>
      </c>
      <c r="B109" t="s">
        <v>2344</v>
      </c>
      <c r="C109">
        <v>5697</v>
      </c>
      <c r="D109" t="s">
        <v>2342</v>
      </c>
      <c r="E109" t="s">
        <v>2036</v>
      </c>
      <c r="F109">
        <v>202112</v>
      </c>
      <c r="G109" t="s">
        <v>176</v>
      </c>
      <c r="H109">
        <v>0</v>
      </c>
      <c r="O109">
        <v>5373</v>
      </c>
      <c r="P109" t="s">
        <v>2344</v>
      </c>
      <c r="Q109">
        <v>5697</v>
      </c>
      <c r="R109" t="s">
        <v>2342</v>
      </c>
      <c r="S109" t="s">
        <v>2036</v>
      </c>
      <c r="T109">
        <v>202205</v>
      </c>
      <c r="U109" t="s">
        <v>178</v>
      </c>
      <c r="V109">
        <v>1850</v>
      </c>
    </row>
    <row r="110" spans="1:22">
      <c r="A110">
        <v>5373</v>
      </c>
      <c r="B110" t="s">
        <v>2344</v>
      </c>
      <c r="C110">
        <v>5697</v>
      </c>
      <c r="D110" t="s">
        <v>2342</v>
      </c>
      <c r="E110" t="s">
        <v>2036</v>
      </c>
      <c r="F110">
        <v>202112</v>
      </c>
      <c r="G110" t="s">
        <v>178</v>
      </c>
      <c r="H110">
        <v>1850</v>
      </c>
      <c r="O110">
        <v>5373</v>
      </c>
      <c r="P110" t="s">
        <v>2344</v>
      </c>
      <c r="Q110">
        <v>5697</v>
      </c>
      <c r="R110" t="s">
        <v>2342</v>
      </c>
      <c r="S110" t="s">
        <v>2036</v>
      </c>
      <c r="T110">
        <v>202205</v>
      </c>
      <c r="U110" t="s">
        <v>180</v>
      </c>
      <c r="V110">
        <v>1650</v>
      </c>
    </row>
    <row r="111" spans="1:22">
      <c r="A111">
        <v>5373</v>
      </c>
      <c r="B111" t="s">
        <v>2344</v>
      </c>
      <c r="C111">
        <v>5697</v>
      </c>
      <c r="D111" t="s">
        <v>2342</v>
      </c>
      <c r="E111" t="s">
        <v>2036</v>
      </c>
      <c r="F111">
        <v>202112</v>
      </c>
      <c r="G111" t="s">
        <v>180</v>
      </c>
      <c r="H111">
        <v>1650</v>
      </c>
      <c r="O111">
        <v>5373</v>
      </c>
      <c r="P111" t="s">
        <v>2344</v>
      </c>
      <c r="Q111">
        <v>5697</v>
      </c>
      <c r="R111" t="s">
        <v>2342</v>
      </c>
      <c r="S111" t="s">
        <v>2036</v>
      </c>
      <c r="T111">
        <v>202205</v>
      </c>
      <c r="U111" t="s">
        <v>182</v>
      </c>
      <c r="V111">
        <v>407258</v>
      </c>
    </row>
    <row r="112" spans="1:22">
      <c r="A112">
        <v>5373</v>
      </c>
      <c r="B112" t="s">
        <v>2344</v>
      </c>
      <c r="C112">
        <v>5697</v>
      </c>
      <c r="D112" t="s">
        <v>2342</v>
      </c>
      <c r="E112" t="s">
        <v>2036</v>
      </c>
      <c r="F112">
        <v>202112</v>
      </c>
      <c r="G112" t="s">
        <v>182</v>
      </c>
      <c r="H112">
        <v>479401</v>
      </c>
      <c r="O112">
        <v>5373</v>
      </c>
      <c r="P112" t="s">
        <v>2344</v>
      </c>
      <c r="Q112">
        <v>5697</v>
      </c>
      <c r="R112" t="s">
        <v>2342</v>
      </c>
      <c r="S112" t="s">
        <v>2036</v>
      </c>
      <c r="T112">
        <v>202205</v>
      </c>
      <c r="U112" t="s">
        <v>184</v>
      </c>
      <c r="V112">
        <v>58648</v>
      </c>
    </row>
    <row r="113" spans="1:22">
      <c r="A113">
        <v>5373</v>
      </c>
      <c r="B113" t="s">
        <v>2344</v>
      </c>
      <c r="C113">
        <v>5697</v>
      </c>
      <c r="D113" t="s">
        <v>2342</v>
      </c>
      <c r="E113" t="s">
        <v>2036</v>
      </c>
      <c r="F113">
        <v>202112</v>
      </c>
      <c r="G113" t="s">
        <v>184</v>
      </c>
      <c r="H113">
        <v>68357</v>
      </c>
      <c r="O113">
        <v>5373</v>
      </c>
      <c r="P113" t="s">
        <v>2344</v>
      </c>
      <c r="Q113">
        <v>5697</v>
      </c>
      <c r="R113" t="s">
        <v>2342</v>
      </c>
      <c r="S113" t="s">
        <v>2036</v>
      </c>
      <c r="T113">
        <v>202205</v>
      </c>
      <c r="U113" t="s">
        <v>186</v>
      </c>
      <c r="V113">
        <v>0</v>
      </c>
    </row>
    <row r="114" spans="1:22">
      <c r="A114">
        <v>5373</v>
      </c>
      <c r="B114" t="s">
        <v>2344</v>
      </c>
      <c r="C114">
        <v>5697</v>
      </c>
      <c r="D114" t="s">
        <v>2342</v>
      </c>
      <c r="E114" t="s">
        <v>2036</v>
      </c>
      <c r="F114">
        <v>202112</v>
      </c>
      <c r="G114" t="s">
        <v>192</v>
      </c>
      <c r="H114">
        <v>0</v>
      </c>
    </row>
    <row r="115" spans="1:22">
      <c r="A115">
        <v>5373</v>
      </c>
      <c r="B115" t="s">
        <v>2344</v>
      </c>
      <c r="C115">
        <v>5697</v>
      </c>
      <c r="D115" t="s">
        <v>2342</v>
      </c>
      <c r="E115" t="s">
        <v>2036</v>
      </c>
      <c r="F115">
        <v>202112</v>
      </c>
      <c r="G115" t="s">
        <v>2170</v>
      </c>
      <c r="H115">
        <v>8961.58</v>
      </c>
      <c r="O115">
        <v>5373</v>
      </c>
      <c r="P115" t="s">
        <v>2344</v>
      </c>
      <c r="Q115">
        <v>5697</v>
      </c>
      <c r="R115" t="s">
        <v>2342</v>
      </c>
      <c r="S115" t="s">
        <v>2036</v>
      </c>
      <c r="T115">
        <v>202205</v>
      </c>
      <c r="U115" t="s">
        <v>190</v>
      </c>
      <c r="V115">
        <v>1037311</v>
      </c>
    </row>
    <row r="116" spans="1:22">
      <c r="A116">
        <v>5373</v>
      </c>
      <c r="B116" t="s">
        <v>2344</v>
      </c>
      <c r="C116">
        <v>5697</v>
      </c>
      <c r="D116" t="s">
        <v>2342</v>
      </c>
      <c r="E116" t="s">
        <v>2036</v>
      </c>
      <c r="F116">
        <v>202112</v>
      </c>
      <c r="G116" t="s">
        <v>186</v>
      </c>
      <c r="H116">
        <v>0</v>
      </c>
      <c r="O116">
        <v>5373</v>
      </c>
      <c r="P116" t="s">
        <v>2344</v>
      </c>
      <c r="Q116">
        <v>5697</v>
      </c>
      <c r="R116" t="s">
        <v>2342</v>
      </c>
      <c r="S116" t="s">
        <v>2036</v>
      </c>
      <c r="T116">
        <v>202205</v>
      </c>
      <c r="U116" t="s">
        <v>190</v>
      </c>
      <c r="V116">
        <v>1037311</v>
      </c>
    </row>
    <row r="117" spans="1:22">
      <c r="A117">
        <v>5373</v>
      </c>
      <c r="B117" t="s">
        <v>2344</v>
      </c>
      <c r="C117">
        <v>5697</v>
      </c>
      <c r="D117" t="s">
        <v>2342</v>
      </c>
      <c r="E117" t="s">
        <v>2036</v>
      </c>
      <c r="F117">
        <v>202112</v>
      </c>
      <c r="G117" t="s">
        <v>2169</v>
      </c>
      <c r="H117">
        <v>302.83999999999997</v>
      </c>
      <c r="O117">
        <v>5373</v>
      </c>
      <c r="P117" t="s">
        <v>2344</v>
      </c>
      <c r="Q117">
        <v>5697</v>
      </c>
      <c r="R117" t="s">
        <v>2342</v>
      </c>
      <c r="S117" t="s">
        <v>2036</v>
      </c>
      <c r="T117">
        <v>202205</v>
      </c>
      <c r="U117" t="s">
        <v>190</v>
      </c>
      <c r="V117">
        <v>1037311</v>
      </c>
    </row>
    <row r="118" spans="1:22">
      <c r="A118">
        <v>5373</v>
      </c>
      <c r="B118" t="s">
        <v>2344</v>
      </c>
      <c r="C118">
        <v>5697</v>
      </c>
      <c r="D118" t="s">
        <v>2342</v>
      </c>
      <c r="E118" t="s">
        <v>2036</v>
      </c>
      <c r="F118">
        <v>202112</v>
      </c>
      <c r="G118" t="s">
        <v>2166</v>
      </c>
      <c r="H118">
        <v>11.83</v>
      </c>
      <c r="O118">
        <v>5373</v>
      </c>
      <c r="P118" t="s">
        <v>2344</v>
      </c>
      <c r="Q118">
        <v>5697</v>
      </c>
      <c r="R118" t="s">
        <v>2342</v>
      </c>
      <c r="S118" t="s">
        <v>2036</v>
      </c>
      <c r="T118">
        <v>202205</v>
      </c>
      <c r="U118" t="s">
        <v>191</v>
      </c>
      <c r="V118">
        <v>100411</v>
      </c>
    </row>
    <row r="119" spans="1:22">
      <c r="A119">
        <v>5373</v>
      </c>
      <c r="B119" t="s">
        <v>2344</v>
      </c>
      <c r="C119">
        <v>5697</v>
      </c>
      <c r="D119" t="s">
        <v>2342</v>
      </c>
      <c r="E119" t="s">
        <v>2036</v>
      </c>
      <c r="F119">
        <v>202112</v>
      </c>
      <c r="G119" t="s">
        <v>2167</v>
      </c>
      <c r="H119">
        <v>21.22</v>
      </c>
      <c r="O119">
        <v>5373</v>
      </c>
      <c r="P119" t="s">
        <v>2344</v>
      </c>
      <c r="Q119">
        <v>5697</v>
      </c>
      <c r="R119" t="s">
        <v>2342</v>
      </c>
      <c r="S119" t="s">
        <v>2036</v>
      </c>
      <c r="T119">
        <v>202205</v>
      </c>
      <c r="U119" t="s">
        <v>191</v>
      </c>
      <c r="V119">
        <v>100411</v>
      </c>
    </row>
    <row r="120" spans="1:22">
      <c r="A120">
        <v>5373</v>
      </c>
      <c r="B120" t="s">
        <v>2344</v>
      </c>
      <c r="C120">
        <v>5697</v>
      </c>
      <c r="D120" t="s">
        <v>2342</v>
      </c>
      <c r="E120" t="s">
        <v>2036</v>
      </c>
      <c r="F120">
        <v>202112</v>
      </c>
      <c r="G120" t="s">
        <v>2168</v>
      </c>
      <c r="H120">
        <v>14.37</v>
      </c>
      <c r="O120">
        <v>5373</v>
      </c>
      <c r="P120" t="s">
        <v>2344</v>
      </c>
      <c r="Q120">
        <v>5697</v>
      </c>
      <c r="R120" t="s">
        <v>2342</v>
      </c>
      <c r="S120" t="s">
        <v>2036</v>
      </c>
      <c r="T120">
        <v>202205</v>
      </c>
      <c r="U120" t="s">
        <v>191</v>
      </c>
      <c r="V120">
        <v>100411</v>
      </c>
    </row>
    <row r="121" spans="1:22">
      <c r="A121">
        <v>5373</v>
      </c>
      <c r="B121" t="s">
        <v>2344</v>
      </c>
      <c r="C121">
        <v>5697</v>
      </c>
      <c r="D121" t="s">
        <v>2342</v>
      </c>
      <c r="E121" t="s">
        <v>2036</v>
      </c>
      <c r="F121">
        <v>202112</v>
      </c>
      <c r="G121" t="s">
        <v>2171</v>
      </c>
      <c r="H121">
        <v>239614.38</v>
      </c>
      <c r="O121">
        <v>5373</v>
      </c>
      <c r="P121" t="s">
        <v>2344</v>
      </c>
      <c r="Q121">
        <v>5697</v>
      </c>
      <c r="R121" t="s">
        <v>2342</v>
      </c>
      <c r="S121" t="s">
        <v>2036</v>
      </c>
      <c r="T121">
        <v>202205</v>
      </c>
      <c r="U121" t="s">
        <v>178</v>
      </c>
      <c r="V121">
        <v>2800</v>
      </c>
    </row>
    <row r="122" spans="1:22">
      <c r="A122">
        <v>5373</v>
      </c>
      <c r="B122" t="s">
        <v>2344</v>
      </c>
      <c r="C122">
        <v>5697</v>
      </c>
      <c r="D122" t="s">
        <v>2342</v>
      </c>
      <c r="E122" t="s">
        <v>2036</v>
      </c>
      <c r="F122">
        <v>202201</v>
      </c>
      <c r="G122" t="s">
        <v>190</v>
      </c>
      <c r="H122">
        <v>1007061</v>
      </c>
      <c r="O122">
        <v>5373</v>
      </c>
      <c r="P122" t="s">
        <v>2344</v>
      </c>
      <c r="Q122">
        <v>5697</v>
      </c>
      <c r="R122" t="s">
        <v>2342</v>
      </c>
      <c r="S122" t="s">
        <v>2036</v>
      </c>
      <c r="T122">
        <v>202205</v>
      </c>
      <c r="U122" t="s">
        <v>178</v>
      </c>
      <c r="V122">
        <v>2800</v>
      </c>
    </row>
    <row r="123" spans="1:22">
      <c r="A123">
        <v>5373</v>
      </c>
      <c r="B123" t="s">
        <v>2344</v>
      </c>
      <c r="C123">
        <v>5697</v>
      </c>
      <c r="D123" t="s">
        <v>2342</v>
      </c>
      <c r="E123" t="s">
        <v>2036</v>
      </c>
      <c r="F123">
        <v>202201</v>
      </c>
      <c r="G123" t="s">
        <v>191</v>
      </c>
      <c r="H123">
        <v>96393</v>
      </c>
      <c r="O123">
        <v>5373</v>
      </c>
      <c r="P123" t="s">
        <v>2344</v>
      </c>
      <c r="Q123">
        <v>5697</v>
      </c>
      <c r="R123" t="s">
        <v>2342</v>
      </c>
      <c r="S123" t="s">
        <v>2036</v>
      </c>
      <c r="T123">
        <v>202205</v>
      </c>
      <c r="U123" t="s">
        <v>178</v>
      </c>
      <c r="V123">
        <v>2800</v>
      </c>
    </row>
    <row r="124" spans="1:22">
      <c r="A124">
        <v>5373</v>
      </c>
      <c r="B124" t="s">
        <v>2344</v>
      </c>
      <c r="C124">
        <v>5697</v>
      </c>
      <c r="D124" t="s">
        <v>2342</v>
      </c>
      <c r="E124" t="s">
        <v>2036</v>
      </c>
      <c r="F124">
        <v>202201</v>
      </c>
      <c r="G124" t="s">
        <v>176</v>
      </c>
      <c r="H124">
        <v>-28966.44</v>
      </c>
      <c r="O124">
        <v>5373</v>
      </c>
      <c r="P124" t="s">
        <v>2344</v>
      </c>
      <c r="Q124">
        <v>5697</v>
      </c>
      <c r="R124" t="s">
        <v>2342</v>
      </c>
      <c r="S124" t="s">
        <v>2036</v>
      </c>
      <c r="T124">
        <v>202205</v>
      </c>
      <c r="U124" t="s">
        <v>180</v>
      </c>
      <c r="V124">
        <v>2000</v>
      </c>
    </row>
    <row r="125" spans="1:22">
      <c r="A125">
        <v>5373</v>
      </c>
      <c r="B125" t="s">
        <v>2344</v>
      </c>
      <c r="C125">
        <v>5697</v>
      </c>
      <c r="D125" t="s">
        <v>2342</v>
      </c>
      <c r="E125" t="s">
        <v>2036</v>
      </c>
      <c r="F125">
        <v>202201</v>
      </c>
      <c r="G125" t="s">
        <v>178</v>
      </c>
      <c r="H125">
        <v>2800</v>
      </c>
      <c r="O125">
        <v>5373</v>
      </c>
      <c r="P125" t="s">
        <v>2344</v>
      </c>
      <c r="Q125">
        <v>5697</v>
      </c>
      <c r="R125" t="s">
        <v>2342</v>
      </c>
      <c r="S125" t="s">
        <v>2036</v>
      </c>
      <c r="T125">
        <v>202205</v>
      </c>
      <c r="U125" t="s">
        <v>180</v>
      </c>
      <c r="V125">
        <v>2000</v>
      </c>
    </row>
    <row r="126" spans="1:22">
      <c r="A126">
        <v>5373</v>
      </c>
      <c r="B126" t="s">
        <v>2344</v>
      </c>
      <c r="C126">
        <v>5697</v>
      </c>
      <c r="D126" t="s">
        <v>2342</v>
      </c>
      <c r="E126" t="s">
        <v>2036</v>
      </c>
      <c r="F126">
        <v>202201</v>
      </c>
      <c r="G126" t="s">
        <v>180</v>
      </c>
      <c r="H126">
        <v>2234.4</v>
      </c>
      <c r="O126">
        <v>5373</v>
      </c>
      <c r="P126" t="s">
        <v>2344</v>
      </c>
      <c r="Q126">
        <v>5697</v>
      </c>
      <c r="R126" t="s">
        <v>2342</v>
      </c>
      <c r="S126" t="s">
        <v>2036</v>
      </c>
      <c r="T126">
        <v>202205</v>
      </c>
      <c r="U126" t="s">
        <v>180</v>
      </c>
      <c r="V126">
        <v>2000</v>
      </c>
    </row>
    <row r="127" spans="1:22">
      <c r="A127">
        <v>5373</v>
      </c>
      <c r="B127" t="s">
        <v>2344</v>
      </c>
      <c r="C127">
        <v>5697</v>
      </c>
      <c r="D127" t="s">
        <v>2342</v>
      </c>
      <c r="E127" t="s">
        <v>2036</v>
      </c>
      <c r="F127">
        <v>202201</v>
      </c>
      <c r="G127" t="s">
        <v>182</v>
      </c>
      <c r="H127">
        <v>1027851</v>
      </c>
      <c r="O127">
        <v>5373</v>
      </c>
      <c r="P127" t="s">
        <v>2344</v>
      </c>
      <c r="Q127">
        <v>5697</v>
      </c>
      <c r="R127" t="s">
        <v>2342</v>
      </c>
      <c r="S127" t="s">
        <v>2036</v>
      </c>
      <c r="T127">
        <v>202205</v>
      </c>
      <c r="U127" t="s">
        <v>182</v>
      </c>
      <c r="V127">
        <v>1059274</v>
      </c>
    </row>
    <row r="128" spans="1:22">
      <c r="A128">
        <v>5373</v>
      </c>
      <c r="B128" t="s">
        <v>2344</v>
      </c>
      <c r="C128">
        <v>5697</v>
      </c>
      <c r="D128" t="s">
        <v>2342</v>
      </c>
      <c r="E128" t="s">
        <v>2036</v>
      </c>
      <c r="F128">
        <v>202201</v>
      </c>
      <c r="G128" t="s">
        <v>184</v>
      </c>
      <c r="H128">
        <v>96393</v>
      </c>
      <c r="O128">
        <v>5373</v>
      </c>
      <c r="P128" t="s">
        <v>2344</v>
      </c>
      <c r="Q128">
        <v>5697</v>
      </c>
      <c r="R128" t="s">
        <v>2342</v>
      </c>
      <c r="S128" t="s">
        <v>2036</v>
      </c>
      <c r="T128">
        <v>202205</v>
      </c>
      <c r="U128" t="s">
        <v>182</v>
      </c>
      <c r="V128">
        <v>1059274</v>
      </c>
    </row>
    <row r="129" spans="1:22">
      <c r="A129">
        <v>5373</v>
      </c>
      <c r="B129" t="s">
        <v>2344</v>
      </c>
      <c r="C129">
        <v>5697</v>
      </c>
      <c r="D129" t="s">
        <v>2342</v>
      </c>
      <c r="E129" t="s">
        <v>2036</v>
      </c>
      <c r="F129">
        <v>202201</v>
      </c>
      <c r="G129" t="s">
        <v>192</v>
      </c>
      <c r="H129">
        <v>0</v>
      </c>
      <c r="O129">
        <v>5373</v>
      </c>
      <c r="P129" t="s">
        <v>2344</v>
      </c>
      <c r="Q129">
        <v>5697</v>
      </c>
      <c r="R129" t="s">
        <v>2342</v>
      </c>
      <c r="S129" t="s">
        <v>2036</v>
      </c>
      <c r="T129">
        <v>202205</v>
      </c>
      <c r="U129" t="s">
        <v>182</v>
      </c>
      <c r="V129">
        <v>1059274</v>
      </c>
    </row>
    <row r="130" spans="1:22">
      <c r="A130">
        <v>5373</v>
      </c>
      <c r="B130" t="s">
        <v>2344</v>
      </c>
      <c r="C130">
        <v>5697</v>
      </c>
      <c r="D130" t="s">
        <v>2342</v>
      </c>
      <c r="E130" t="s">
        <v>2036</v>
      </c>
      <c r="F130">
        <v>202201</v>
      </c>
      <c r="G130" t="s">
        <v>2170</v>
      </c>
      <c r="H130">
        <v>21885.56</v>
      </c>
      <c r="O130">
        <v>5373</v>
      </c>
      <c r="P130" t="s">
        <v>2344</v>
      </c>
      <c r="Q130">
        <v>5697</v>
      </c>
      <c r="R130" t="s">
        <v>2342</v>
      </c>
      <c r="S130" t="s">
        <v>2036</v>
      </c>
      <c r="T130">
        <v>202205</v>
      </c>
      <c r="U130" t="s">
        <v>184</v>
      </c>
      <c r="V130">
        <v>100411</v>
      </c>
    </row>
    <row r="131" spans="1:22">
      <c r="A131">
        <v>5373</v>
      </c>
      <c r="B131" t="s">
        <v>2344</v>
      </c>
      <c r="C131">
        <v>5697</v>
      </c>
      <c r="D131" t="s">
        <v>2342</v>
      </c>
      <c r="E131" t="s">
        <v>2036</v>
      </c>
      <c r="F131">
        <v>202201</v>
      </c>
      <c r="G131" t="s">
        <v>186</v>
      </c>
      <c r="H131">
        <v>20790</v>
      </c>
      <c r="O131">
        <v>5373</v>
      </c>
      <c r="P131" t="s">
        <v>2344</v>
      </c>
      <c r="Q131">
        <v>5697</v>
      </c>
      <c r="R131" t="s">
        <v>2342</v>
      </c>
      <c r="S131" t="s">
        <v>2036</v>
      </c>
      <c r="T131">
        <v>202205</v>
      </c>
      <c r="U131" t="s">
        <v>184</v>
      </c>
      <c r="V131">
        <v>100411</v>
      </c>
    </row>
    <row r="132" spans="1:22">
      <c r="A132">
        <v>5373</v>
      </c>
      <c r="B132" t="s">
        <v>2344</v>
      </c>
      <c r="C132">
        <v>5697</v>
      </c>
      <c r="D132" t="s">
        <v>2342</v>
      </c>
      <c r="E132" t="s">
        <v>2036</v>
      </c>
      <c r="F132">
        <v>202201</v>
      </c>
      <c r="G132" t="s">
        <v>2169</v>
      </c>
      <c r="H132">
        <v>302.83999999999997</v>
      </c>
      <c r="O132">
        <v>5373</v>
      </c>
      <c r="P132" t="s">
        <v>2344</v>
      </c>
      <c r="Q132">
        <v>5697</v>
      </c>
      <c r="R132" t="s">
        <v>2342</v>
      </c>
      <c r="S132" t="s">
        <v>2036</v>
      </c>
      <c r="T132">
        <v>202205</v>
      </c>
      <c r="U132" t="s">
        <v>184</v>
      </c>
      <c r="V132">
        <v>100411</v>
      </c>
    </row>
    <row r="133" spans="1:22">
      <c r="A133">
        <v>5373</v>
      </c>
      <c r="B133" t="s">
        <v>2344</v>
      </c>
      <c r="C133">
        <v>5697</v>
      </c>
      <c r="D133" t="s">
        <v>2342</v>
      </c>
      <c r="E133" t="s">
        <v>2036</v>
      </c>
      <c r="F133">
        <v>202201</v>
      </c>
      <c r="G133" t="s">
        <v>2166</v>
      </c>
      <c r="H133">
        <v>11.83</v>
      </c>
      <c r="O133">
        <v>5373</v>
      </c>
      <c r="P133" t="s">
        <v>2344</v>
      </c>
      <c r="Q133">
        <v>5697</v>
      </c>
      <c r="R133" t="s">
        <v>2342</v>
      </c>
      <c r="S133" t="s">
        <v>2036</v>
      </c>
      <c r="T133">
        <v>202205</v>
      </c>
      <c r="U133" t="s">
        <v>186</v>
      </c>
      <c r="V133">
        <v>21963</v>
      </c>
    </row>
    <row r="134" spans="1:22">
      <c r="A134">
        <v>5373</v>
      </c>
      <c r="B134" t="s">
        <v>2344</v>
      </c>
      <c r="C134">
        <v>5697</v>
      </c>
      <c r="D134" t="s">
        <v>2342</v>
      </c>
      <c r="E134" t="s">
        <v>2036</v>
      </c>
      <c r="F134">
        <v>202201</v>
      </c>
      <c r="G134" t="s">
        <v>2167</v>
      </c>
      <c r="H134">
        <v>21.22</v>
      </c>
      <c r="O134">
        <v>5373</v>
      </c>
      <c r="P134" t="s">
        <v>2344</v>
      </c>
      <c r="Q134">
        <v>5697</v>
      </c>
      <c r="R134" t="s">
        <v>2342</v>
      </c>
      <c r="S134" t="s">
        <v>2036</v>
      </c>
      <c r="T134">
        <v>202205</v>
      </c>
      <c r="U134" t="s">
        <v>186</v>
      </c>
      <c r="V134">
        <v>21963</v>
      </c>
    </row>
    <row r="135" spans="1:22">
      <c r="A135">
        <v>5373</v>
      </c>
      <c r="B135" t="s">
        <v>2344</v>
      </c>
      <c r="C135">
        <v>5697</v>
      </c>
      <c r="D135" t="s">
        <v>2342</v>
      </c>
      <c r="E135" t="s">
        <v>2036</v>
      </c>
      <c r="F135">
        <v>202201</v>
      </c>
      <c r="G135" t="s">
        <v>2168</v>
      </c>
      <c r="H135">
        <v>14.37</v>
      </c>
      <c r="O135">
        <v>5373</v>
      </c>
      <c r="P135" t="s">
        <v>2344</v>
      </c>
      <c r="Q135">
        <v>5697</v>
      </c>
      <c r="R135" t="s">
        <v>2342</v>
      </c>
      <c r="S135" t="s">
        <v>2036</v>
      </c>
      <c r="T135">
        <v>202205</v>
      </c>
      <c r="U135" t="s">
        <v>186</v>
      </c>
      <c r="V135">
        <v>21963</v>
      </c>
    </row>
    <row r="136" spans="1:22">
      <c r="A136">
        <v>5373</v>
      </c>
      <c r="B136" t="s">
        <v>2344</v>
      </c>
      <c r="C136">
        <v>5697</v>
      </c>
      <c r="D136" t="s">
        <v>2342</v>
      </c>
      <c r="E136" t="s">
        <v>2036</v>
      </c>
      <c r="F136">
        <v>202201</v>
      </c>
      <c r="G136" t="s">
        <v>2171</v>
      </c>
      <c r="H136">
        <v>433730.38</v>
      </c>
      <c r="O136">
        <v>5373</v>
      </c>
      <c r="P136" t="s">
        <v>2344</v>
      </c>
      <c r="Q136">
        <v>5697</v>
      </c>
      <c r="R136" t="s">
        <v>2342</v>
      </c>
      <c r="S136" t="s">
        <v>2036</v>
      </c>
      <c r="T136">
        <v>202205</v>
      </c>
      <c r="U136" t="s">
        <v>190</v>
      </c>
      <c r="V136">
        <v>407258</v>
      </c>
    </row>
    <row r="137" spans="1:22">
      <c r="A137">
        <v>5373</v>
      </c>
      <c r="B137" t="s">
        <v>2344</v>
      </c>
      <c r="C137">
        <v>5697</v>
      </c>
      <c r="D137" t="s">
        <v>2342</v>
      </c>
      <c r="E137" t="s">
        <v>2036</v>
      </c>
      <c r="F137">
        <v>202201</v>
      </c>
      <c r="G137" t="s">
        <v>190</v>
      </c>
      <c r="H137">
        <v>499142</v>
      </c>
      <c r="O137">
        <v>5373</v>
      </c>
      <c r="P137" t="s">
        <v>2344</v>
      </c>
      <c r="Q137">
        <v>5697</v>
      </c>
      <c r="R137" t="s">
        <v>2342</v>
      </c>
      <c r="S137" t="s">
        <v>2036</v>
      </c>
      <c r="T137">
        <v>202205</v>
      </c>
      <c r="U137" t="s">
        <v>190</v>
      </c>
      <c r="V137">
        <v>407258</v>
      </c>
    </row>
    <row r="138" spans="1:22">
      <c r="A138">
        <v>5373</v>
      </c>
      <c r="B138" t="s">
        <v>2344</v>
      </c>
      <c r="C138">
        <v>5697</v>
      </c>
      <c r="D138" t="s">
        <v>2342</v>
      </c>
      <c r="E138" t="s">
        <v>2036</v>
      </c>
      <c r="F138">
        <v>202201</v>
      </c>
      <c r="G138" t="s">
        <v>191</v>
      </c>
      <c r="H138">
        <v>65908</v>
      </c>
      <c r="O138">
        <v>5373</v>
      </c>
      <c r="P138" t="s">
        <v>2344</v>
      </c>
      <c r="Q138">
        <v>5697</v>
      </c>
      <c r="R138" t="s">
        <v>2342</v>
      </c>
      <c r="S138" t="s">
        <v>2036</v>
      </c>
      <c r="T138">
        <v>202205</v>
      </c>
      <c r="U138" t="s">
        <v>190</v>
      </c>
      <c r="V138">
        <v>407258</v>
      </c>
    </row>
    <row r="139" spans="1:22">
      <c r="A139">
        <v>5373</v>
      </c>
      <c r="B139" t="s">
        <v>2344</v>
      </c>
      <c r="C139">
        <v>5697</v>
      </c>
      <c r="D139" t="s">
        <v>2342</v>
      </c>
      <c r="E139" t="s">
        <v>2036</v>
      </c>
      <c r="F139">
        <v>202201</v>
      </c>
      <c r="G139" t="s">
        <v>176</v>
      </c>
      <c r="H139">
        <v>0</v>
      </c>
      <c r="O139">
        <v>5373</v>
      </c>
      <c r="P139" t="s">
        <v>2344</v>
      </c>
      <c r="Q139">
        <v>5697</v>
      </c>
      <c r="R139" t="s">
        <v>2342</v>
      </c>
      <c r="S139" t="s">
        <v>2036</v>
      </c>
      <c r="T139">
        <v>202205</v>
      </c>
      <c r="U139" t="s">
        <v>191</v>
      </c>
      <c r="V139">
        <v>58648</v>
      </c>
    </row>
    <row r="140" spans="1:22">
      <c r="A140">
        <v>5373</v>
      </c>
      <c r="B140" t="s">
        <v>2344</v>
      </c>
      <c r="C140">
        <v>5697</v>
      </c>
      <c r="D140" t="s">
        <v>2342</v>
      </c>
      <c r="E140" t="s">
        <v>2036</v>
      </c>
      <c r="F140">
        <v>202201</v>
      </c>
      <c r="G140" t="s">
        <v>178</v>
      </c>
      <c r="H140">
        <v>1850</v>
      </c>
      <c r="O140">
        <v>5373</v>
      </c>
      <c r="P140" t="s">
        <v>2344</v>
      </c>
      <c r="Q140">
        <v>5697</v>
      </c>
      <c r="R140" t="s">
        <v>2342</v>
      </c>
      <c r="S140" t="s">
        <v>2036</v>
      </c>
      <c r="T140">
        <v>202205</v>
      </c>
      <c r="U140" t="s">
        <v>191</v>
      </c>
      <c r="V140">
        <v>58648</v>
      </c>
    </row>
    <row r="141" spans="1:22">
      <c r="A141">
        <v>5373</v>
      </c>
      <c r="B141" t="s">
        <v>2344</v>
      </c>
      <c r="C141">
        <v>5697</v>
      </c>
      <c r="D141" t="s">
        <v>2342</v>
      </c>
      <c r="E141" t="s">
        <v>2036</v>
      </c>
      <c r="F141">
        <v>202201</v>
      </c>
      <c r="G141" t="s">
        <v>180</v>
      </c>
      <c r="H141">
        <v>1650</v>
      </c>
      <c r="O141">
        <v>5373</v>
      </c>
      <c r="P141" t="s">
        <v>2344</v>
      </c>
      <c r="Q141">
        <v>5697</v>
      </c>
      <c r="R141" t="s">
        <v>2342</v>
      </c>
      <c r="S141" t="s">
        <v>2036</v>
      </c>
      <c r="T141">
        <v>202205</v>
      </c>
      <c r="U141" t="s">
        <v>191</v>
      </c>
      <c r="V141">
        <v>58648</v>
      </c>
    </row>
    <row r="142" spans="1:22">
      <c r="A142">
        <v>5373</v>
      </c>
      <c r="B142" t="s">
        <v>2344</v>
      </c>
      <c r="C142">
        <v>5697</v>
      </c>
      <c r="D142" t="s">
        <v>2342</v>
      </c>
      <c r="E142" t="s">
        <v>2036</v>
      </c>
      <c r="F142">
        <v>202201</v>
      </c>
      <c r="G142" t="s">
        <v>182</v>
      </c>
      <c r="H142">
        <v>499142</v>
      </c>
      <c r="O142">
        <v>5373</v>
      </c>
      <c r="P142" t="s">
        <v>2344</v>
      </c>
      <c r="Q142">
        <v>5697</v>
      </c>
      <c r="R142" t="s">
        <v>2342</v>
      </c>
      <c r="S142" t="s">
        <v>2036</v>
      </c>
      <c r="T142">
        <v>202205</v>
      </c>
      <c r="U142" t="s">
        <v>178</v>
      </c>
      <c r="V142">
        <v>1850</v>
      </c>
    </row>
    <row r="143" spans="1:22">
      <c r="A143">
        <v>5373</v>
      </c>
      <c r="B143" t="s">
        <v>2344</v>
      </c>
      <c r="C143">
        <v>5697</v>
      </c>
      <c r="D143" t="s">
        <v>2342</v>
      </c>
      <c r="E143" t="s">
        <v>2036</v>
      </c>
      <c r="F143">
        <v>202201</v>
      </c>
      <c r="G143" t="s">
        <v>184</v>
      </c>
      <c r="H143">
        <v>65908</v>
      </c>
      <c r="O143">
        <v>5373</v>
      </c>
      <c r="P143" t="s">
        <v>2344</v>
      </c>
      <c r="Q143">
        <v>5697</v>
      </c>
      <c r="R143" t="s">
        <v>2342</v>
      </c>
      <c r="S143" t="s">
        <v>2036</v>
      </c>
      <c r="T143">
        <v>202205</v>
      </c>
      <c r="U143" t="s">
        <v>178</v>
      </c>
      <c r="V143">
        <v>1850</v>
      </c>
    </row>
    <row r="144" spans="1:22">
      <c r="A144">
        <v>5373</v>
      </c>
      <c r="B144" t="s">
        <v>2344</v>
      </c>
      <c r="C144">
        <v>5697</v>
      </c>
      <c r="D144" t="s">
        <v>2342</v>
      </c>
      <c r="E144" t="s">
        <v>2036</v>
      </c>
      <c r="F144">
        <v>202201</v>
      </c>
      <c r="G144" t="s">
        <v>192</v>
      </c>
      <c r="H144">
        <v>0</v>
      </c>
      <c r="O144">
        <v>5373</v>
      </c>
      <c r="P144" t="s">
        <v>2344</v>
      </c>
      <c r="Q144">
        <v>5697</v>
      </c>
      <c r="R144" t="s">
        <v>2342</v>
      </c>
      <c r="S144" t="s">
        <v>2036</v>
      </c>
      <c r="T144">
        <v>202205</v>
      </c>
      <c r="U144" t="s">
        <v>178</v>
      </c>
      <c r="V144">
        <v>1850</v>
      </c>
    </row>
    <row r="145" spans="1:22">
      <c r="A145">
        <v>5373</v>
      </c>
      <c r="B145" t="s">
        <v>2344</v>
      </c>
      <c r="C145">
        <v>5697</v>
      </c>
      <c r="D145" t="s">
        <v>2342</v>
      </c>
      <c r="E145" t="s">
        <v>2036</v>
      </c>
      <c r="F145">
        <v>202201</v>
      </c>
      <c r="G145" t="s">
        <v>2170</v>
      </c>
      <c r="H145">
        <v>11723.87</v>
      </c>
      <c r="O145">
        <v>5373</v>
      </c>
      <c r="P145" t="s">
        <v>2344</v>
      </c>
      <c r="Q145">
        <v>5697</v>
      </c>
      <c r="R145" t="s">
        <v>2342</v>
      </c>
      <c r="S145" t="s">
        <v>2036</v>
      </c>
      <c r="T145">
        <v>202205</v>
      </c>
      <c r="U145" t="s">
        <v>180</v>
      </c>
      <c r="V145">
        <v>1650</v>
      </c>
    </row>
    <row r="146" spans="1:22">
      <c r="A146">
        <v>5373</v>
      </c>
      <c r="B146" t="s">
        <v>2344</v>
      </c>
      <c r="C146">
        <v>5697</v>
      </c>
      <c r="D146" t="s">
        <v>2342</v>
      </c>
      <c r="E146" t="s">
        <v>2036</v>
      </c>
      <c r="F146">
        <v>202201</v>
      </c>
      <c r="G146" t="s">
        <v>186</v>
      </c>
      <c r="H146">
        <v>0</v>
      </c>
      <c r="O146">
        <v>5373</v>
      </c>
      <c r="P146" t="s">
        <v>2344</v>
      </c>
      <c r="Q146">
        <v>5697</v>
      </c>
      <c r="R146" t="s">
        <v>2342</v>
      </c>
      <c r="S146" t="s">
        <v>2036</v>
      </c>
      <c r="T146">
        <v>202205</v>
      </c>
      <c r="U146" t="s">
        <v>180</v>
      </c>
      <c r="V146">
        <v>1650</v>
      </c>
    </row>
    <row r="147" spans="1:22">
      <c r="A147">
        <v>5373</v>
      </c>
      <c r="B147" t="s">
        <v>2344</v>
      </c>
      <c r="C147">
        <v>5697</v>
      </c>
      <c r="D147" t="s">
        <v>2342</v>
      </c>
      <c r="E147" t="s">
        <v>2036</v>
      </c>
      <c r="F147">
        <v>202201</v>
      </c>
      <c r="G147" t="s">
        <v>2169</v>
      </c>
      <c r="H147">
        <v>302.83999999999997</v>
      </c>
      <c r="O147">
        <v>5373</v>
      </c>
      <c r="P147" t="s">
        <v>2344</v>
      </c>
      <c r="Q147">
        <v>5697</v>
      </c>
      <c r="R147" t="s">
        <v>2342</v>
      </c>
      <c r="S147" t="s">
        <v>2036</v>
      </c>
      <c r="T147">
        <v>202205</v>
      </c>
      <c r="U147" t="s">
        <v>180</v>
      </c>
      <c r="V147">
        <v>1650</v>
      </c>
    </row>
    <row r="148" spans="1:22">
      <c r="A148">
        <v>5373</v>
      </c>
      <c r="B148" t="s">
        <v>2344</v>
      </c>
      <c r="C148">
        <v>5697</v>
      </c>
      <c r="D148" t="s">
        <v>2342</v>
      </c>
      <c r="E148" t="s">
        <v>2036</v>
      </c>
      <c r="F148">
        <v>202201</v>
      </c>
      <c r="G148" t="s">
        <v>2166</v>
      </c>
      <c r="H148">
        <v>11.83</v>
      </c>
      <c r="O148">
        <v>5373</v>
      </c>
      <c r="P148" t="s">
        <v>2344</v>
      </c>
      <c r="Q148">
        <v>5697</v>
      </c>
      <c r="R148" t="s">
        <v>2342</v>
      </c>
      <c r="S148" t="s">
        <v>2036</v>
      </c>
      <c r="T148">
        <v>202205</v>
      </c>
      <c r="U148" t="s">
        <v>182</v>
      </c>
      <c r="V148">
        <v>407258</v>
      </c>
    </row>
    <row r="149" spans="1:22">
      <c r="A149">
        <v>5373</v>
      </c>
      <c r="B149" t="s">
        <v>2344</v>
      </c>
      <c r="C149">
        <v>5697</v>
      </c>
      <c r="D149" t="s">
        <v>2342</v>
      </c>
      <c r="E149" t="s">
        <v>2036</v>
      </c>
      <c r="F149">
        <v>202201</v>
      </c>
      <c r="G149" t="s">
        <v>2167</v>
      </c>
      <c r="H149">
        <v>21.22</v>
      </c>
      <c r="O149">
        <v>5373</v>
      </c>
      <c r="P149" t="s">
        <v>2344</v>
      </c>
      <c r="Q149">
        <v>5697</v>
      </c>
      <c r="R149" t="s">
        <v>2342</v>
      </c>
      <c r="S149" t="s">
        <v>2036</v>
      </c>
      <c r="T149">
        <v>202205</v>
      </c>
      <c r="U149" t="s">
        <v>182</v>
      </c>
      <c r="V149">
        <v>407258</v>
      </c>
    </row>
    <row r="150" spans="1:22">
      <c r="A150">
        <v>5373</v>
      </c>
      <c r="B150" t="s">
        <v>2344</v>
      </c>
      <c r="C150">
        <v>5697</v>
      </c>
      <c r="D150" t="s">
        <v>2342</v>
      </c>
      <c r="E150" t="s">
        <v>2036</v>
      </c>
      <c r="F150">
        <v>202201</v>
      </c>
      <c r="G150" t="s">
        <v>2168</v>
      </c>
      <c r="H150">
        <v>14.37</v>
      </c>
      <c r="O150">
        <v>5373</v>
      </c>
      <c r="P150" t="s">
        <v>2344</v>
      </c>
      <c r="Q150">
        <v>5697</v>
      </c>
      <c r="R150" t="s">
        <v>2342</v>
      </c>
      <c r="S150" t="s">
        <v>2036</v>
      </c>
      <c r="T150">
        <v>202205</v>
      </c>
      <c r="U150" t="s">
        <v>182</v>
      </c>
      <c r="V150">
        <v>407258</v>
      </c>
    </row>
    <row r="151" spans="1:22">
      <c r="A151">
        <v>5373</v>
      </c>
      <c r="B151" t="s">
        <v>2344</v>
      </c>
      <c r="C151">
        <v>5697</v>
      </c>
      <c r="D151" t="s">
        <v>2342</v>
      </c>
      <c r="E151" t="s">
        <v>2036</v>
      </c>
      <c r="F151">
        <v>202201</v>
      </c>
      <c r="G151" t="s">
        <v>2171</v>
      </c>
      <c r="H151">
        <v>247861.86</v>
      </c>
      <c r="O151">
        <v>5373</v>
      </c>
      <c r="P151" t="s">
        <v>2344</v>
      </c>
      <c r="Q151">
        <v>5697</v>
      </c>
      <c r="R151" t="s">
        <v>2342</v>
      </c>
      <c r="S151" t="s">
        <v>2036</v>
      </c>
      <c r="T151">
        <v>202205</v>
      </c>
      <c r="U151" t="s">
        <v>184</v>
      </c>
      <c r="V151">
        <v>58648</v>
      </c>
    </row>
    <row r="152" spans="1:22">
      <c r="A152">
        <v>5373</v>
      </c>
      <c r="B152" t="s">
        <v>2344</v>
      </c>
      <c r="C152">
        <v>5697</v>
      </c>
      <c r="D152" t="s">
        <v>2342</v>
      </c>
      <c r="E152" t="s">
        <v>2036</v>
      </c>
      <c r="F152">
        <v>202202</v>
      </c>
      <c r="G152" t="s">
        <v>190</v>
      </c>
      <c r="H152">
        <v>837863</v>
      </c>
      <c r="O152">
        <v>5373</v>
      </c>
      <c r="P152" t="s">
        <v>2344</v>
      </c>
      <c r="Q152">
        <v>5697</v>
      </c>
      <c r="R152" t="s">
        <v>2342</v>
      </c>
      <c r="S152" t="s">
        <v>2036</v>
      </c>
      <c r="T152">
        <v>202205</v>
      </c>
      <c r="U152" t="s">
        <v>184</v>
      </c>
      <c r="V152">
        <v>58648</v>
      </c>
    </row>
    <row r="153" spans="1:22">
      <c r="A153">
        <v>5373</v>
      </c>
      <c r="B153" t="s">
        <v>2344</v>
      </c>
      <c r="C153">
        <v>5697</v>
      </c>
      <c r="D153" t="s">
        <v>2342</v>
      </c>
      <c r="E153" t="s">
        <v>2036</v>
      </c>
      <c r="F153">
        <v>202202</v>
      </c>
      <c r="G153" t="s">
        <v>191</v>
      </c>
      <c r="H153">
        <v>83399</v>
      </c>
      <c r="O153">
        <v>5373</v>
      </c>
      <c r="P153" t="s">
        <v>2344</v>
      </c>
      <c r="Q153">
        <v>5697</v>
      </c>
      <c r="R153" t="s">
        <v>2342</v>
      </c>
      <c r="S153" t="s">
        <v>2036</v>
      </c>
      <c r="T153">
        <v>202205</v>
      </c>
      <c r="U153" t="s">
        <v>184</v>
      </c>
      <c r="V153">
        <v>58648</v>
      </c>
    </row>
    <row r="154" spans="1:22">
      <c r="A154">
        <v>5373</v>
      </c>
      <c r="B154" t="s">
        <v>2344</v>
      </c>
      <c r="C154">
        <v>5697</v>
      </c>
      <c r="D154" t="s">
        <v>2342</v>
      </c>
      <c r="E154" t="s">
        <v>2036</v>
      </c>
      <c r="F154">
        <v>202202</v>
      </c>
      <c r="G154" t="s">
        <v>176</v>
      </c>
      <c r="H154">
        <v>0</v>
      </c>
      <c r="O154">
        <v>5373</v>
      </c>
      <c r="P154" t="s">
        <v>2344</v>
      </c>
      <c r="Q154">
        <v>5697</v>
      </c>
      <c r="R154" t="s">
        <v>2342</v>
      </c>
      <c r="S154" t="s">
        <v>2036</v>
      </c>
      <c r="T154">
        <v>202205</v>
      </c>
      <c r="U154" t="s">
        <v>186</v>
      </c>
      <c r="V154">
        <v>0</v>
      </c>
    </row>
    <row r="155" spans="1:22">
      <c r="A155">
        <v>5373</v>
      </c>
      <c r="B155" t="s">
        <v>2344</v>
      </c>
      <c r="C155">
        <v>5697</v>
      </c>
      <c r="D155" t="s">
        <v>2342</v>
      </c>
      <c r="E155" t="s">
        <v>2036</v>
      </c>
      <c r="F155">
        <v>202202</v>
      </c>
      <c r="G155" t="s">
        <v>178</v>
      </c>
      <c r="H155">
        <v>2800</v>
      </c>
      <c r="O155">
        <v>5373</v>
      </c>
      <c r="P155" t="s">
        <v>2344</v>
      </c>
      <c r="Q155">
        <v>5697</v>
      </c>
      <c r="R155" t="s">
        <v>2342</v>
      </c>
      <c r="S155" t="s">
        <v>2036</v>
      </c>
      <c r="T155">
        <v>202205</v>
      </c>
      <c r="U155" t="s">
        <v>186</v>
      </c>
      <c r="V155">
        <v>0</v>
      </c>
    </row>
    <row r="156" spans="1:22">
      <c r="A156">
        <v>5373</v>
      </c>
      <c r="B156" t="s">
        <v>2344</v>
      </c>
      <c r="C156">
        <v>5697</v>
      </c>
      <c r="D156" t="s">
        <v>2342</v>
      </c>
      <c r="E156" t="s">
        <v>2036</v>
      </c>
      <c r="F156">
        <v>202202</v>
      </c>
      <c r="G156" t="s">
        <v>180</v>
      </c>
      <c r="H156">
        <v>2000</v>
      </c>
      <c r="O156">
        <v>5373</v>
      </c>
      <c r="P156" t="s">
        <v>2344</v>
      </c>
      <c r="Q156">
        <v>5697</v>
      </c>
      <c r="R156" t="s">
        <v>2342</v>
      </c>
      <c r="S156" t="s">
        <v>2036</v>
      </c>
      <c r="T156">
        <v>202205</v>
      </c>
      <c r="U156" t="s">
        <v>186</v>
      </c>
      <c r="V156">
        <v>0</v>
      </c>
    </row>
    <row r="157" spans="1:22">
      <c r="A157">
        <v>5373</v>
      </c>
      <c r="B157" t="s">
        <v>2344</v>
      </c>
      <c r="C157">
        <v>5697</v>
      </c>
      <c r="D157" t="s">
        <v>2342</v>
      </c>
      <c r="E157" t="s">
        <v>2036</v>
      </c>
      <c r="F157">
        <v>202202</v>
      </c>
      <c r="G157" t="s">
        <v>182</v>
      </c>
      <c r="H157">
        <v>856482</v>
      </c>
    </row>
    <row r="158" spans="1:22">
      <c r="A158">
        <v>5373</v>
      </c>
      <c r="B158" t="s">
        <v>2344</v>
      </c>
      <c r="C158">
        <v>5697</v>
      </c>
      <c r="D158" t="s">
        <v>2342</v>
      </c>
      <c r="E158" t="s">
        <v>2036</v>
      </c>
      <c r="F158">
        <v>202202</v>
      </c>
      <c r="G158" t="s">
        <v>184</v>
      </c>
      <c r="H158">
        <v>83399</v>
      </c>
    </row>
    <row r="159" spans="1:22">
      <c r="A159">
        <v>5373</v>
      </c>
      <c r="B159" t="s">
        <v>2344</v>
      </c>
      <c r="C159">
        <v>5697</v>
      </c>
      <c r="D159" t="s">
        <v>2342</v>
      </c>
      <c r="E159" t="s">
        <v>2036</v>
      </c>
      <c r="F159">
        <v>202202</v>
      </c>
      <c r="G159" t="s">
        <v>192</v>
      </c>
      <c r="H159">
        <v>0</v>
      </c>
    </row>
    <row r="160" spans="1:22">
      <c r="A160">
        <v>5373</v>
      </c>
      <c r="B160" t="s">
        <v>2344</v>
      </c>
      <c r="C160">
        <v>5697</v>
      </c>
      <c r="D160" t="s">
        <v>2342</v>
      </c>
      <c r="E160" t="s">
        <v>2036</v>
      </c>
      <c r="F160">
        <v>202202</v>
      </c>
      <c r="G160" t="s">
        <v>2170</v>
      </c>
      <c r="H160">
        <v>10836.59</v>
      </c>
    </row>
    <row r="161" spans="1:8">
      <c r="A161">
        <v>5373</v>
      </c>
      <c r="B161" t="s">
        <v>2344</v>
      </c>
      <c r="C161">
        <v>5697</v>
      </c>
      <c r="D161" t="s">
        <v>2342</v>
      </c>
      <c r="E161" t="s">
        <v>2036</v>
      </c>
      <c r="F161">
        <v>202202</v>
      </c>
      <c r="G161" t="s">
        <v>186</v>
      </c>
      <c r="H161">
        <v>18619</v>
      </c>
    </row>
    <row r="162" spans="1:8">
      <c r="A162">
        <v>5373</v>
      </c>
      <c r="B162" t="s">
        <v>2344</v>
      </c>
      <c r="C162">
        <v>5697</v>
      </c>
      <c r="D162" t="s">
        <v>2342</v>
      </c>
      <c r="E162" t="s">
        <v>2036</v>
      </c>
      <c r="F162">
        <v>202202</v>
      </c>
      <c r="G162" t="s">
        <v>2169</v>
      </c>
      <c r="H162">
        <v>302.83999999999997</v>
      </c>
    </row>
    <row r="163" spans="1:8">
      <c r="A163">
        <v>5373</v>
      </c>
      <c r="B163" t="s">
        <v>2344</v>
      </c>
      <c r="C163">
        <v>5697</v>
      </c>
      <c r="D163" t="s">
        <v>2342</v>
      </c>
      <c r="E163" t="s">
        <v>2036</v>
      </c>
      <c r="F163">
        <v>202202</v>
      </c>
      <c r="G163" t="s">
        <v>2166</v>
      </c>
      <c r="H163">
        <v>11.83</v>
      </c>
    </row>
    <row r="164" spans="1:8">
      <c r="A164">
        <v>5373</v>
      </c>
      <c r="B164" t="s">
        <v>2344</v>
      </c>
      <c r="C164">
        <v>5697</v>
      </c>
      <c r="D164" t="s">
        <v>2342</v>
      </c>
      <c r="E164" t="s">
        <v>2036</v>
      </c>
      <c r="F164">
        <v>202202</v>
      </c>
      <c r="G164" t="s">
        <v>2167</v>
      </c>
      <c r="H164">
        <v>21.22</v>
      </c>
    </row>
    <row r="165" spans="1:8">
      <c r="A165">
        <v>5373</v>
      </c>
      <c r="B165" t="s">
        <v>2344</v>
      </c>
      <c r="C165">
        <v>5697</v>
      </c>
      <c r="D165" t="s">
        <v>2342</v>
      </c>
      <c r="E165" t="s">
        <v>2036</v>
      </c>
      <c r="F165">
        <v>202202</v>
      </c>
      <c r="G165" t="s">
        <v>2168</v>
      </c>
      <c r="H165">
        <v>14.37</v>
      </c>
    </row>
    <row r="166" spans="1:8">
      <c r="A166">
        <v>5373</v>
      </c>
      <c r="B166" t="s">
        <v>2344</v>
      </c>
      <c r="C166">
        <v>5697</v>
      </c>
      <c r="D166" t="s">
        <v>2342</v>
      </c>
      <c r="E166" t="s">
        <v>2036</v>
      </c>
      <c r="F166">
        <v>202202</v>
      </c>
      <c r="G166" t="s">
        <v>2171</v>
      </c>
      <c r="H166">
        <v>378901.65</v>
      </c>
    </row>
    <row r="167" spans="1:8">
      <c r="A167">
        <v>5373</v>
      </c>
      <c r="B167" t="s">
        <v>2344</v>
      </c>
      <c r="C167">
        <v>5697</v>
      </c>
      <c r="D167" t="s">
        <v>2342</v>
      </c>
      <c r="E167" t="s">
        <v>2036</v>
      </c>
      <c r="F167">
        <v>202202</v>
      </c>
      <c r="G167" t="s">
        <v>190</v>
      </c>
      <c r="H167">
        <v>406796</v>
      </c>
    </row>
    <row r="168" spans="1:8">
      <c r="A168">
        <v>5373</v>
      </c>
      <c r="B168" t="s">
        <v>2344</v>
      </c>
      <c r="C168">
        <v>5697</v>
      </c>
      <c r="D168" t="s">
        <v>2342</v>
      </c>
      <c r="E168" t="s">
        <v>2036</v>
      </c>
      <c r="F168">
        <v>202202</v>
      </c>
      <c r="G168" t="s">
        <v>191</v>
      </c>
      <c r="H168">
        <v>58975</v>
      </c>
    </row>
    <row r="169" spans="1:8">
      <c r="A169">
        <v>5373</v>
      </c>
      <c r="B169" t="s">
        <v>2344</v>
      </c>
      <c r="C169">
        <v>5697</v>
      </c>
      <c r="D169" t="s">
        <v>2342</v>
      </c>
      <c r="E169" t="s">
        <v>2036</v>
      </c>
      <c r="F169">
        <v>202202</v>
      </c>
      <c r="G169" t="s">
        <v>176</v>
      </c>
      <c r="H169">
        <v>0</v>
      </c>
    </row>
    <row r="170" spans="1:8">
      <c r="A170">
        <v>5373</v>
      </c>
      <c r="B170" t="s">
        <v>2344</v>
      </c>
      <c r="C170">
        <v>5697</v>
      </c>
      <c r="D170" t="s">
        <v>2342</v>
      </c>
      <c r="E170" t="s">
        <v>2036</v>
      </c>
      <c r="F170">
        <v>202202</v>
      </c>
      <c r="G170" t="s">
        <v>178</v>
      </c>
      <c r="H170">
        <v>1850</v>
      </c>
    </row>
    <row r="171" spans="1:8">
      <c r="A171">
        <v>5373</v>
      </c>
      <c r="B171" t="s">
        <v>2344</v>
      </c>
      <c r="C171">
        <v>5697</v>
      </c>
      <c r="D171" t="s">
        <v>2342</v>
      </c>
      <c r="E171" t="s">
        <v>2036</v>
      </c>
      <c r="F171">
        <v>202202</v>
      </c>
      <c r="G171" t="s">
        <v>180</v>
      </c>
      <c r="H171">
        <v>1650</v>
      </c>
    </row>
    <row r="172" spans="1:8">
      <c r="A172">
        <v>5373</v>
      </c>
      <c r="B172" t="s">
        <v>2344</v>
      </c>
      <c r="C172">
        <v>5697</v>
      </c>
      <c r="D172" t="s">
        <v>2342</v>
      </c>
      <c r="E172" t="s">
        <v>2036</v>
      </c>
      <c r="F172">
        <v>202202</v>
      </c>
      <c r="G172" t="s">
        <v>182</v>
      </c>
      <c r="H172">
        <v>406796</v>
      </c>
    </row>
    <row r="173" spans="1:8">
      <c r="A173">
        <v>5373</v>
      </c>
      <c r="B173" t="s">
        <v>2344</v>
      </c>
      <c r="C173">
        <v>5697</v>
      </c>
      <c r="D173" t="s">
        <v>2342</v>
      </c>
      <c r="E173" t="s">
        <v>2036</v>
      </c>
      <c r="F173">
        <v>202202</v>
      </c>
      <c r="G173" t="s">
        <v>184</v>
      </c>
      <c r="H173">
        <v>58975</v>
      </c>
    </row>
    <row r="174" spans="1:8">
      <c r="A174">
        <v>5373</v>
      </c>
      <c r="B174" t="s">
        <v>2344</v>
      </c>
      <c r="C174">
        <v>5697</v>
      </c>
      <c r="D174" t="s">
        <v>2342</v>
      </c>
      <c r="E174" t="s">
        <v>2036</v>
      </c>
      <c r="F174">
        <v>202202</v>
      </c>
      <c r="G174" t="s">
        <v>192</v>
      </c>
      <c r="H174">
        <v>0</v>
      </c>
    </row>
    <row r="175" spans="1:8">
      <c r="A175">
        <v>5373</v>
      </c>
      <c r="B175" t="s">
        <v>2344</v>
      </c>
      <c r="C175">
        <v>5697</v>
      </c>
      <c r="D175" t="s">
        <v>2342</v>
      </c>
      <c r="E175" t="s">
        <v>2036</v>
      </c>
      <c r="F175">
        <v>202202</v>
      </c>
      <c r="G175" t="s">
        <v>2170</v>
      </c>
      <c r="H175">
        <v>6025.19</v>
      </c>
    </row>
    <row r="176" spans="1:8">
      <c r="A176">
        <v>5373</v>
      </c>
      <c r="B176" t="s">
        <v>2344</v>
      </c>
      <c r="C176">
        <v>5697</v>
      </c>
      <c r="D176" t="s">
        <v>2342</v>
      </c>
      <c r="E176" t="s">
        <v>2036</v>
      </c>
      <c r="F176">
        <v>202202</v>
      </c>
      <c r="G176" t="s">
        <v>186</v>
      </c>
      <c r="H176">
        <v>0</v>
      </c>
    </row>
    <row r="177" spans="1:8">
      <c r="A177">
        <v>5373</v>
      </c>
      <c r="B177" t="s">
        <v>2344</v>
      </c>
      <c r="C177">
        <v>5697</v>
      </c>
      <c r="D177" t="s">
        <v>2342</v>
      </c>
      <c r="E177" t="s">
        <v>2036</v>
      </c>
      <c r="F177">
        <v>202202</v>
      </c>
      <c r="G177" t="s">
        <v>2169</v>
      </c>
      <c r="H177">
        <v>302.83999999999997</v>
      </c>
    </row>
    <row r="178" spans="1:8">
      <c r="A178">
        <v>5373</v>
      </c>
      <c r="B178" t="s">
        <v>2344</v>
      </c>
      <c r="C178">
        <v>5697</v>
      </c>
      <c r="D178" t="s">
        <v>2342</v>
      </c>
      <c r="E178" t="s">
        <v>2036</v>
      </c>
      <c r="F178">
        <v>202202</v>
      </c>
      <c r="G178" t="s">
        <v>2166</v>
      </c>
      <c r="H178">
        <v>11.83</v>
      </c>
    </row>
    <row r="179" spans="1:8">
      <c r="A179">
        <v>5373</v>
      </c>
      <c r="B179" t="s">
        <v>2344</v>
      </c>
      <c r="C179">
        <v>5697</v>
      </c>
      <c r="D179" t="s">
        <v>2342</v>
      </c>
      <c r="E179" t="s">
        <v>2036</v>
      </c>
      <c r="F179">
        <v>202202</v>
      </c>
      <c r="G179" t="s">
        <v>2167</v>
      </c>
      <c r="H179">
        <v>21.22</v>
      </c>
    </row>
    <row r="180" spans="1:8">
      <c r="A180">
        <v>5373</v>
      </c>
      <c r="B180" t="s">
        <v>2344</v>
      </c>
      <c r="C180">
        <v>5697</v>
      </c>
      <c r="D180" t="s">
        <v>2342</v>
      </c>
      <c r="E180" t="s">
        <v>2036</v>
      </c>
      <c r="F180">
        <v>202202</v>
      </c>
      <c r="G180" t="s">
        <v>2168</v>
      </c>
      <c r="H180">
        <v>14.37</v>
      </c>
    </row>
    <row r="181" spans="1:8">
      <c r="A181">
        <v>5373</v>
      </c>
      <c r="B181" t="s">
        <v>2344</v>
      </c>
      <c r="C181">
        <v>5697</v>
      </c>
      <c r="D181" t="s">
        <v>2342</v>
      </c>
      <c r="E181" t="s">
        <v>2036</v>
      </c>
      <c r="F181">
        <v>202202</v>
      </c>
      <c r="G181" t="s">
        <v>2171</v>
      </c>
      <c r="H181">
        <v>210670.89</v>
      </c>
    </row>
    <row r="182" spans="1:8">
      <c r="A182">
        <v>5373</v>
      </c>
      <c r="B182" t="s">
        <v>2344</v>
      </c>
      <c r="C182">
        <v>5697</v>
      </c>
      <c r="D182" t="s">
        <v>2342</v>
      </c>
      <c r="E182" t="s">
        <v>2036</v>
      </c>
      <c r="F182">
        <v>202203</v>
      </c>
      <c r="G182" t="s">
        <v>190</v>
      </c>
      <c r="H182">
        <v>432910</v>
      </c>
    </row>
    <row r="183" spans="1:8">
      <c r="A183">
        <v>5373</v>
      </c>
      <c r="B183" t="s">
        <v>2344</v>
      </c>
      <c r="C183">
        <v>5697</v>
      </c>
      <c r="D183" t="s">
        <v>2342</v>
      </c>
      <c r="E183" t="s">
        <v>2036</v>
      </c>
      <c r="F183">
        <v>202203</v>
      </c>
      <c r="G183" t="s">
        <v>191</v>
      </c>
      <c r="H183">
        <v>61231</v>
      </c>
    </row>
    <row r="184" spans="1:8">
      <c r="A184">
        <v>5373</v>
      </c>
      <c r="B184" t="s">
        <v>2344</v>
      </c>
      <c r="C184">
        <v>5697</v>
      </c>
      <c r="D184" t="s">
        <v>2342</v>
      </c>
      <c r="E184" t="s">
        <v>2036</v>
      </c>
      <c r="F184">
        <v>202203</v>
      </c>
      <c r="G184" t="s">
        <v>176</v>
      </c>
      <c r="H184">
        <v>0</v>
      </c>
    </row>
    <row r="185" spans="1:8">
      <c r="A185">
        <v>5373</v>
      </c>
      <c r="B185" t="s">
        <v>2344</v>
      </c>
      <c r="C185">
        <v>5697</v>
      </c>
      <c r="D185" t="s">
        <v>2342</v>
      </c>
      <c r="E185" t="s">
        <v>2036</v>
      </c>
      <c r="F185">
        <v>202203</v>
      </c>
      <c r="G185" t="s">
        <v>178</v>
      </c>
      <c r="H185">
        <v>1850</v>
      </c>
    </row>
    <row r="186" spans="1:8">
      <c r="A186">
        <v>5373</v>
      </c>
      <c r="B186" t="s">
        <v>2344</v>
      </c>
      <c r="C186">
        <v>5697</v>
      </c>
      <c r="D186" t="s">
        <v>2342</v>
      </c>
      <c r="E186" t="s">
        <v>2036</v>
      </c>
      <c r="F186">
        <v>202203</v>
      </c>
      <c r="G186" t="s">
        <v>180</v>
      </c>
      <c r="H186">
        <v>1650</v>
      </c>
    </row>
    <row r="187" spans="1:8">
      <c r="A187">
        <v>5373</v>
      </c>
      <c r="B187" t="s">
        <v>2344</v>
      </c>
      <c r="C187">
        <v>5697</v>
      </c>
      <c r="D187" t="s">
        <v>2342</v>
      </c>
      <c r="E187" t="s">
        <v>2036</v>
      </c>
      <c r="F187">
        <v>202203</v>
      </c>
      <c r="G187" t="s">
        <v>182</v>
      </c>
      <c r="H187">
        <v>432910</v>
      </c>
    </row>
    <row r="188" spans="1:8">
      <c r="A188">
        <v>5373</v>
      </c>
      <c r="B188" t="s">
        <v>2344</v>
      </c>
      <c r="C188">
        <v>5697</v>
      </c>
      <c r="D188" t="s">
        <v>2342</v>
      </c>
      <c r="E188" t="s">
        <v>2036</v>
      </c>
      <c r="F188">
        <v>202203</v>
      </c>
      <c r="G188" t="s">
        <v>184</v>
      </c>
      <c r="H188">
        <v>61231</v>
      </c>
    </row>
    <row r="189" spans="1:8">
      <c r="A189">
        <v>5373</v>
      </c>
      <c r="B189" t="s">
        <v>2344</v>
      </c>
      <c r="C189">
        <v>5697</v>
      </c>
      <c r="D189" t="s">
        <v>2342</v>
      </c>
      <c r="E189" t="s">
        <v>2036</v>
      </c>
      <c r="F189">
        <v>202203</v>
      </c>
      <c r="G189" t="s">
        <v>192</v>
      </c>
      <c r="H189">
        <v>0</v>
      </c>
    </row>
    <row r="190" spans="1:8">
      <c r="A190">
        <v>5373</v>
      </c>
      <c r="B190" t="s">
        <v>2344</v>
      </c>
      <c r="C190">
        <v>5697</v>
      </c>
      <c r="D190" t="s">
        <v>2342</v>
      </c>
      <c r="E190" t="s">
        <v>2036</v>
      </c>
      <c r="F190">
        <v>202203</v>
      </c>
      <c r="G190" t="s">
        <v>2170</v>
      </c>
      <c r="H190">
        <v>7245.19</v>
      </c>
    </row>
    <row r="191" spans="1:8">
      <c r="A191">
        <v>5373</v>
      </c>
      <c r="B191" t="s">
        <v>2344</v>
      </c>
      <c r="C191">
        <v>5697</v>
      </c>
      <c r="D191" t="s">
        <v>2342</v>
      </c>
      <c r="E191" t="s">
        <v>2036</v>
      </c>
      <c r="F191">
        <v>202203</v>
      </c>
      <c r="G191" t="s">
        <v>186</v>
      </c>
      <c r="H191">
        <v>0</v>
      </c>
    </row>
    <row r="192" spans="1:8">
      <c r="A192">
        <v>5373</v>
      </c>
      <c r="B192" t="s">
        <v>2344</v>
      </c>
      <c r="C192">
        <v>5697</v>
      </c>
      <c r="D192" t="s">
        <v>2342</v>
      </c>
      <c r="E192" t="s">
        <v>2036</v>
      </c>
      <c r="F192">
        <v>202203</v>
      </c>
      <c r="G192" t="s">
        <v>2169</v>
      </c>
      <c r="H192">
        <v>302.83999999999997</v>
      </c>
    </row>
    <row r="193" spans="1:8">
      <c r="A193">
        <v>5373</v>
      </c>
      <c r="B193" t="s">
        <v>2344</v>
      </c>
      <c r="C193">
        <v>5697</v>
      </c>
      <c r="D193" t="s">
        <v>2342</v>
      </c>
      <c r="E193" t="s">
        <v>2036</v>
      </c>
      <c r="F193">
        <v>202203</v>
      </c>
      <c r="G193" t="s">
        <v>2166</v>
      </c>
      <c r="H193">
        <v>11.83</v>
      </c>
    </row>
    <row r="194" spans="1:8">
      <c r="A194">
        <v>5373</v>
      </c>
      <c r="B194" t="s">
        <v>2344</v>
      </c>
      <c r="C194">
        <v>5697</v>
      </c>
      <c r="D194" t="s">
        <v>2342</v>
      </c>
      <c r="E194" t="s">
        <v>2036</v>
      </c>
      <c r="F194">
        <v>202203</v>
      </c>
      <c r="G194" t="s">
        <v>2167</v>
      </c>
      <c r="H194">
        <v>21.22</v>
      </c>
    </row>
    <row r="195" spans="1:8">
      <c r="A195">
        <v>5373</v>
      </c>
      <c r="B195" t="s">
        <v>2344</v>
      </c>
      <c r="C195">
        <v>5697</v>
      </c>
      <c r="D195" t="s">
        <v>2342</v>
      </c>
      <c r="E195" t="s">
        <v>2036</v>
      </c>
      <c r="F195">
        <v>202203</v>
      </c>
      <c r="G195" t="s">
        <v>2168</v>
      </c>
      <c r="H195">
        <v>14.37</v>
      </c>
    </row>
    <row r="196" spans="1:8">
      <c r="A196">
        <v>5373</v>
      </c>
      <c r="B196" t="s">
        <v>2344</v>
      </c>
      <c r="C196">
        <v>5697</v>
      </c>
      <c r="D196" t="s">
        <v>2342</v>
      </c>
      <c r="E196" t="s">
        <v>2036</v>
      </c>
      <c r="F196">
        <v>202203</v>
      </c>
      <c r="G196" t="s">
        <v>2171</v>
      </c>
      <c r="H196">
        <v>220890.13</v>
      </c>
    </row>
    <row r="197" spans="1:8">
      <c r="A197">
        <v>5373</v>
      </c>
      <c r="B197" t="s">
        <v>2344</v>
      </c>
      <c r="C197">
        <v>5697</v>
      </c>
      <c r="D197" t="s">
        <v>2342</v>
      </c>
      <c r="E197" t="s">
        <v>2036</v>
      </c>
      <c r="F197">
        <v>202203</v>
      </c>
      <c r="G197" t="s">
        <v>190</v>
      </c>
      <c r="H197">
        <v>1039419</v>
      </c>
    </row>
    <row r="198" spans="1:8">
      <c r="A198">
        <v>5373</v>
      </c>
      <c r="B198" t="s">
        <v>2344</v>
      </c>
      <c r="C198">
        <v>5697</v>
      </c>
      <c r="D198" t="s">
        <v>2342</v>
      </c>
      <c r="E198" t="s">
        <v>2036</v>
      </c>
      <c r="F198">
        <v>202203</v>
      </c>
      <c r="G198" t="s">
        <v>191</v>
      </c>
      <c r="H198">
        <v>101972</v>
      </c>
    </row>
    <row r="199" spans="1:8">
      <c r="A199">
        <v>5373</v>
      </c>
      <c r="B199" t="s">
        <v>2344</v>
      </c>
      <c r="C199">
        <v>5697</v>
      </c>
      <c r="D199" t="s">
        <v>2342</v>
      </c>
      <c r="E199" t="s">
        <v>2036</v>
      </c>
      <c r="F199">
        <v>202203</v>
      </c>
      <c r="G199" t="s">
        <v>176</v>
      </c>
      <c r="H199">
        <v>0</v>
      </c>
    </row>
    <row r="200" spans="1:8">
      <c r="A200">
        <v>5373</v>
      </c>
      <c r="B200" t="s">
        <v>2344</v>
      </c>
      <c r="C200">
        <v>5697</v>
      </c>
      <c r="D200" t="s">
        <v>2342</v>
      </c>
      <c r="E200" t="s">
        <v>2036</v>
      </c>
      <c r="F200">
        <v>202203</v>
      </c>
      <c r="G200" t="s">
        <v>178</v>
      </c>
      <c r="H200">
        <v>2800</v>
      </c>
    </row>
    <row r="201" spans="1:8">
      <c r="A201">
        <v>5373</v>
      </c>
      <c r="B201" t="s">
        <v>2344</v>
      </c>
      <c r="C201">
        <v>5697</v>
      </c>
      <c r="D201" t="s">
        <v>2342</v>
      </c>
      <c r="E201" t="s">
        <v>2036</v>
      </c>
      <c r="F201">
        <v>202203</v>
      </c>
      <c r="G201" t="s">
        <v>180</v>
      </c>
      <c r="H201">
        <v>2000</v>
      </c>
    </row>
    <row r="202" spans="1:8">
      <c r="A202">
        <v>5373</v>
      </c>
      <c r="B202" t="s">
        <v>2344</v>
      </c>
      <c r="C202">
        <v>5697</v>
      </c>
      <c r="D202" t="s">
        <v>2342</v>
      </c>
      <c r="E202" t="s">
        <v>2036</v>
      </c>
      <c r="F202">
        <v>202203</v>
      </c>
      <c r="G202" t="s">
        <v>182</v>
      </c>
      <c r="H202">
        <v>1059542</v>
      </c>
    </row>
    <row r="203" spans="1:8">
      <c r="A203">
        <v>5373</v>
      </c>
      <c r="B203" t="s">
        <v>2344</v>
      </c>
      <c r="C203">
        <v>5697</v>
      </c>
      <c r="D203" t="s">
        <v>2342</v>
      </c>
      <c r="E203" t="s">
        <v>2036</v>
      </c>
      <c r="F203">
        <v>202203</v>
      </c>
      <c r="G203" t="s">
        <v>184</v>
      </c>
      <c r="H203">
        <v>101972</v>
      </c>
    </row>
    <row r="204" spans="1:8">
      <c r="A204">
        <v>5373</v>
      </c>
      <c r="B204" t="s">
        <v>2344</v>
      </c>
      <c r="C204">
        <v>5697</v>
      </c>
      <c r="D204" t="s">
        <v>2342</v>
      </c>
      <c r="E204" t="s">
        <v>2036</v>
      </c>
      <c r="F204">
        <v>202203</v>
      </c>
      <c r="G204" t="s">
        <v>192</v>
      </c>
      <c r="H204">
        <v>0</v>
      </c>
    </row>
    <row r="205" spans="1:8">
      <c r="A205">
        <v>5373</v>
      </c>
      <c r="B205" t="s">
        <v>2344</v>
      </c>
      <c r="C205">
        <v>5697</v>
      </c>
      <c r="D205" t="s">
        <v>2342</v>
      </c>
      <c r="E205" t="s">
        <v>2036</v>
      </c>
      <c r="F205">
        <v>202203</v>
      </c>
      <c r="G205" t="s">
        <v>2170</v>
      </c>
      <c r="H205">
        <v>14850.68</v>
      </c>
    </row>
    <row r="206" spans="1:8">
      <c r="A206">
        <v>5373</v>
      </c>
      <c r="B206" t="s">
        <v>2344</v>
      </c>
      <c r="C206">
        <v>5697</v>
      </c>
      <c r="D206" t="s">
        <v>2342</v>
      </c>
      <c r="E206" t="s">
        <v>2036</v>
      </c>
      <c r="F206">
        <v>202203</v>
      </c>
      <c r="G206" t="s">
        <v>186</v>
      </c>
      <c r="H206">
        <v>20123</v>
      </c>
    </row>
    <row r="207" spans="1:8">
      <c r="A207">
        <v>5373</v>
      </c>
      <c r="B207" t="s">
        <v>2344</v>
      </c>
      <c r="C207">
        <v>5697</v>
      </c>
      <c r="D207" t="s">
        <v>2342</v>
      </c>
      <c r="E207" t="s">
        <v>2036</v>
      </c>
      <c r="F207">
        <v>202203</v>
      </c>
      <c r="G207" t="s">
        <v>2169</v>
      </c>
      <c r="H207">
        <v>302.83999999999997</v>
      </c>
    </row>
    <row r="208" spans="1:8">
      <c r="A208">
        <v>5373</v>
      </c>
      <c r="B208" t="s">
        <v>2344</v>
      </c>
      <c r="C208">
        <v>5697</v>
      </c>
      <c r="D208" t="s">
        <v>2342</v>
      </c>
      <c r="E208" t="s">
        <v>2036</v>
      </c>
      <c r="F208">
        <v>202203</v>
      </c>
      <c r="G208" t="s">
        <v>2166</v>
      </c>
      <c r="H208">
        <v>11.83</v>
      </c>
    </row>
    <row r="209" spans="1:8">
      <c r="A209">
        <v>5373</v>
      </c>
      <c r="B209" t="s">
        <v>2344</v>
      </c>
      <c r="C209">
        <v>5697</v>
      </c>
      <c r="D209" t="s">
        <v>2342</v>
      </c>
      <c r="E209" t="s">
        <v>2036</v>
      </c>
      <c r="F209">
        <v>202203</v>
      </c>
      <c r="G209" t="s">
        <v>2167</v>
      </c>
      <c r="H209">
        <v>21.22</v>
      </c>
    </row>
    <row r="210" spans="1:8">
      <c r="A210">
        <v>5373</v>
      </c>
      <c r="B210" t="s">
        <v>2344</v>
      </c>
      <c r="C210">
        <v>5697</v>
      </c>
      <c r="D210" t="s">
        <v>2342</v>
      </c>
      <c r="E210" t="s">
        <v>2036</v>
      </c>
      <c r="F210">
        <v>202203</v>
      </c>
      <c r="G210" t="s">
        <v>2168</v>
      </c>
      <c r="H210">
        <v>14.37</v>
      </c>
    </row>
    <row r="211" spans="1:8">
      <c r="A211">
        <v>5373</v>
      </c>
      <c r="B211" t="s">
        <v>2344</v>
      </c>
      <c r="C211">
        <v>5697</v>
      </c>
      <c r="D211" t="s">
        <v>2342</v>
      </c>
      <c r="E211" t="s">
        <v>2036</v>
      </c>
      <c r="F211">
        <v>202203</v>
      </c>
      <c r="G211" t="s">
        <v>2171</v>
      </c>
      <c r="H211">
        <v>452764.46</v>
      </c>
    </row>
    <row r="212" spans="1:8">
      <c r="A212">
        <v>5373</v>
      </c>
      <c r="B212" t="s">
        <v>2344</v>
      </c>
      <c r="C212">
        <v>5697</v>
      </c>
      <c r="D212" t="s">
        <v>2342</v>
      </c>
      <c r="E212" t="s">
        <v>2036</v>
      </c>
      <c r="F212">
        <v>202204</v>
      </c>
      <c r="G212" t="s">
        <v>190</v>
      </c>
      <c r="H212">
        <v>988113</v>
      </c>
    </row>
    <row r="213" spans="1:8">
      <c r="A213">
        <v>5373</v>
      </c>
      <c r="B213" t="s">
        <v>2344</v>
      </c>
      <c r="C213">
        <v>5697</v>
      </c>
      <c r="D213" t="s">
        <v>2342</v>
      </c>
      <c r="E213" t="s">
        <v>2036</v>
      </c>
      <c r="F213">
        <v>202204</v>
      </c>
      <c r="G213" t="s">
        <v>191</v>
      </c>
      <c r="H213">
        <v>89884</v>
      </c>
    </row>
    <row r="214" spans="1:8">
      <c r="A214">
        <v>5373</v>
      </c>
      <c r="B214" t="s">
        <v>2344</v>
      </c>
      <c r="C214">
        <v>5697</v>
      </c>
      <c r="D214" t="s">
        <v>2342</v>
      </c>
      <c r="E214" t="s">
        <v>2036</v>
      </c>
      <c r="F214">
        <v>202204</v>
      </c>
      <c r="G214" t="s">
        <v>176</v>
      </c>
      <c r="H214">
        <v>0</v>
      </c>
    </row>
    <row r="215" spans="1:8">
      <c r="A215">
        <v>5373</v>
      </c>
      <c r="B215" t="s">
        <v>2344</v>
      </c>
      <c r="C215">
        <v>5697</v>
      </c>
      <c r="D215" t="s">
        <v>2342</v>
      </c>
      <c r="E215" t="s">
        <v>2036</v>
      </c>
      <c r="F215">
        <v>202204</v>
      </c>
      <c r="G215" t="s">
        <v>178</v>
      </c>
      <c r="H215">
        <v>2800</v>
      </c>
    </row>
    <row r="216" spans="1:8">
      <c r="A216">
        <v>5373</v>
      </c>
      <c r="B216" t="s">
        <v>2344</v>
      </c>
      <c r="C216">
        <v>5697</v>
      </c>
      <c r="D216" t="s">
        <v>2342</v>
      </c>
      <c r="E216" t="s">
        <v>2036</v>
      </c>
      <c r="F216">
        <v>202204</v>
      </c>
      <c r="G216" t="s">
        <v>180</v>
      </c>
      <c r="H216">
        <v>2000</v>
      </c>
    </row>
    <row r="217" spans="1:8">
      <c r="A217">
        <v>5373</v>
      </c>
      <c r="B217" t="s">
        <v>2344</v>
      </c>
      <c r="C217">
        <v>5697</v>
      </c>
      <c r="D217" t="s">
        <v>2342</v>
      </c>
      <c r="E217" t="s">
        <v>2036</v>
      </c>
      <c r="F217">
        <v>202204</v>
      </c>
      <c r="G217" t="s">
        <v>182</v>
      </c>
      <c r="H217">
        <v>1007475</v>
      </c>
    </row>
    <row r="218" spans="1:8">
      <c r="A218">
        <v>5373</v>
      </c>
      <c r="B218" t="s">
        <v>2344</v>
      </c>
      <c r="C218">
        <v>5697</v>
      </c>
      <c r="D218" t="s">
        <v>2342</v>
      </c>
      <c r="E218" t="s">
        <v>2036</v>
      </c>
      <c r="F218">
        <v>202204</v>
      </c>
      <c r="G218" t="s">
        <v>184</v>
      </c>
      <c r="H218">
        <v>89884</v>
      </c>
    </row>
    <row r="219" spans="1:8">
      <c r="A219">
        <v>5373</v>
      </c>
      <c r="B219" t="s">
        <v>2344</v>
      </c>
      <c r="C219">
        <v>5697</v>
      </c>
      <c r="D219" t="s">
        <v>2342</v>
      </c>
      <c r="E219" t="s">
        <v>2036</v>
      </c>
      <c r="F219">
        <v>202204</v>
      </c>
      <c r="G219" t="s">
        <v>192</v>
      </c>
      <c r="H219">
        <v>0</v>
      </c>
    </row>
    <row r="220" spans="1:8">
      <c r="A220">
        <v>5373</v>
      </c>
      <c r="B220" t="s">
        <v>2344</v>
      </c>
      <c r="C220">
        <v>5697</v>
      </c>
      <c r="D220" t="s">
        <v>2342</v>
      </c>
      <c r="E220" t="s">
        <v>2036</v>
      </c>
      <c r="F220">
        <v>202204</v>
      </c>
      <c r="G220" t="s">
        <v>2170</v>
      </c>
      <c r="H220">
        <v>9136.31</v>
      </c>
    </row>
    <row r="221" spans="1:8">
      <c r="A221">
        <v>5373</v>
      </c>
      <c r="B221" t="s">
        <v>2344</v>
      </c>
      <c r="C221">
        <v>5697</v>
      </c>
      <c r="D221" t="s">
        <v>2342</v>
      </c>
      <c r="E221" t="s">
        <v>2036</v>
      </c>
      <c r="F221">
        <v>202204</v>
      </c>
      <c r="G221" t="s">
        <v>186</v>
      </c>
      <c r="H221">
        <v>19362</v>
      </c>
    </row>
    <row r="222" spans="1:8">
      <c r="A222">
        <v>5373</v>
      </c>
      <c r="B222" t="s">
        <v>2344</v>
      </c>
      <c r="C222">
        <v>5697</v>
      </c>
      <c r="D222" t="s">
        <v>2342</v>
      </c>
      <c r="E222" t="s">
        <v>2036</v>
      </c>
      <c r="F222">
        <v>202204</v>
      </c>
      <c r="G222" t="s">
        <v>2169</v>
      </c>
      <c r="H222">
        <v>302.83999999999997</v>
      </c>
    </row>
    <row r="223" spans="1:8">
      <c r="A223">
        <v>5373</v>
      </c>
      <c r="B223" t="s">
        <v>2344</v>
      </c>
      <c r="C223">
        <v>5697</v>
      </c>
      <c r="D223" t="s">
        <v>2342</v>
      </c>
      <c r="E223" t="s">
        <v>2036</v>
      </c>
      <c r="F223">
        <v>202204</v>
      </c>
      <c r="G223" t="s">
        <v>2166</v>
      </c>
      <c r="H223">
        <v>11.83</v>
      </c>
    </row>
    <row r="224" spans="1:8">
      <c r="A224">
        <v>5373</v>
      </c>
      <c r="B224" t="s">
        <v>2344</v>
      </c>
      <c r="C224">
        <v>5697</v>
      </c>
      <c r="D224" t="s">
        <v>2342</v>
      </c>
      <c r="E224" t="s">
        <v>2036</v>
      </c>
      <c r="F224">
        <v>202204</v>
      </c>
      <c r="G224" t="s">
        <v>2167</v>
      </c>
      <c r="H224">
        <v>21.22</v>
      </c>
    </row>
    <row r="225" spans="1:8">
      <c r="A225">
        <v>5373</v>
      </c>
      <c r="B225" t="s">
        <v>2344</v>
      </c>
      <c r="C225">
        <v>5697</v>
      </c>
      <c r="D225" t="s">
        <v>2342</v>
      </c>
      <c r="E225" t="s">
        <v>2036</v>
      </c>
      <c r="F225">
        <v>202204</v>
      </c>
      <c r="G225" t="s">
        <v>2168</v>
      </c>
      <c r="H225">
        <v>14.37</v>
      </c>
    </row>
    <row r="226" spans="1:8">
      <c r="A226">
        <v>5373</v>
      </c>
      <c r="B226" t="s">
        <v>2344</v>
      </c>
      <c r="C226">
        <v>5697</v>
      </c>
      <c r="D226" t="s">
        <v>2342</v>
      </c>
      <c r="E226" t="s">
        <v>2036</v>
      </c>
      <c r="F226">
        <v>202204</v>
      </c>
      <c r="G226" t="s">
        <v>2171</v>
      </c>
      <c r="H226">
        <v>426929.96</v>
      </c>
    </row>
    <row r="227" spans="1:8">
      <c r="A227">
        <v>5373</v>
      </c>
      <c r="B227" t="s">
        <v>2344</v>
      </c>
      <c r="C227">
        <v>5697</v>
      </c>
      <c r="D227" t="s">
        <v>2342</v>
      </c>
      <c r="E227" t="s">
        <v>2036</v>
      </c>
      <c r="F227">
        <v>202204</v>
      </c>
      <c r="G227" t="s">
        <v>190</v>
      </c>
      <c r="H227">
        <v>417536</v>
      </c>
    </row>
    <row r="228" spans="1:8">
      <c r="A228">
        <v>5373</v>
      </c>
      <c r="B228" t="s">
        <v>2344</v>
      </c>
      <c r="C228">
        <v>5697</v>
      </c>
      <c r="D228" t="s">
        <v>2342</v>
      </c>
      <c r="E228" t="s">
        <v>2036</v>
      </c>
      <c r="F228">
        <v>202204</v>
      </c>
      <c r="G228" t="s">
        <v>191</v>
      </c>
      <c r="H228">
        <v>52951</v>
      </c>
    </row>
    <row r="229" spans="1:8">
      <c r="A229">
        <v>5373</v>
      </c>
      <c r="B229" t="s">
        <v>2344</v>
      </c>
      <c r="C229">
        <v>5697</v>
      </c>
      <c r="D229" t="s">
        <v>2342</v>
      </c>
      <c r="E229" t="s">
        <v>2036</v>
      </c>
      <c r="F229">
        <v>202204</v>
      </c>
      <c r="G229" t="s">
        <v>176</v>
      </c>
      <c r="H229">
        <v>0</v>
      </c>
    </row>
    <row r="230" spans="1:8">
      <c r="A230">
        <v>5373</v>
      </c>
      <c r="B230" t="s">
        <v>2344</v>
      </c>
      <c r="C230">
        <v>5697</v>
      </c>
      <c r="D230" t="s">
        <v>2342</v>
      </c>
      <c r="E230" t="s">
        <v>2036</v>
      </c>
      <c r="F230">
        <v>202204</v>
      </c>
      <c r="G230" t="s">
        <v>178</v>
      </c>
      <c r="H230">
        <v>1850</v>
      </c>
    </row>
    <row r="231" spans="1:8">
      <c r="A231">
        <v>5373</v>
      </c>
      <c r="B231" t="s">
        <v>2344</v>
      </c>
      <c r="C231">
        <v>5697</v>
      </c>
      <c r="D231" t="s">
        <v>2342</v>
      </c>
      <c r="E231" t="s">
        <v>2036</v>
      </c>
      <c r="F231">
        <v>202204</v>
      </c>
      <c r="G231" t="s">
        <v>180</v>
      </c>
      <c r="H231">
        <v>1650</v>
      </c>
    </row>
    <row r="232" spans="1:8">
      <c r="A232">
        <v>5373</v>
      </c>
      <c r="B232" t="s">
        <v>2344</v>
      </c>
      <c r="C232">
        <v>5697</v>
      </c>
      <c r="D232" t="s">
        <v>2342</v>
      </c>
      <c r="E232" t="s">
        <v>2036</v>
      </c>
      <c r="F232">
        <v>202204</v>
      </c>
      <c r="G232" t="s">
        <v>182</v>
      </c>
      <c r="H232">
        <v>417536</v>
      </c>
    </row>
    <row r="233" spans="1:8">
      <c r="A233">
        <v>5373</v>
      </c>
      <c r="B233" t="s">
        <v>2344</v>
      </c>
      <c r="C233">
        <v>5697</v>
      </c>
      <c r="D233" t="s">
        <v>2342</v>
      </c>
      <c r="E233" t="s">
        <v>2036</v>
      </c>
      <c r="F233">
        <v>202204</v>
      </c>
      <c r="G233" t="s">
        <v>184</v>
      </c>
      <c r="H233">
        <v>52951</v>
      </c>
    </row>
    <row r="234" spans="1:8">
      <c r="A234">
        <v>5373</v>
      </c>
      <c r="B234" t="s">
        <v>2344</v>
      </c>
      <c r="C234">
        <v>5697</v>
      </c>
      <c r="D234" t="s">
        <v>2342</v>
      </c>
      <c r="E234" t="s">
        <v>2036</v>
      </c>
      <c r="F234">
        <v>202204</v>
      </c>
      <c r="G234" t="s">
        <v>192</v>
      </c>
      <c r="H234">
        <v>0</v>
      </c>
    </row>
    <row r="235" spans="1:8">
      <c r="A235">
        <v>5373</v>
      </c>
      <c r="B235" t="s">
        <v>2344</v>
      </c>
      <c r="C235">
        <v>5697</v>
      </c>
      <c r="D235" t="s">
        <v>2342</v>
      </c>
      <c r="E235" t="s">
        <v>2036</v>
      </c>
      <c r="F235">
        <v>202204</v>
      </c>
      <c r="G235" t="s">
        <v>2170</v>
      </c>
      <c r="H235">
        <v>4507.8900000000003</v>
      </c>
    </row>
    <row r="236" spans="1:8">
      <c r="A236">
        <v>5373</v>
      </c>
      <c r="B236" t="s">
        <v>2344</v>
      </c>
      <c r="C236">
        <v>5697</v>
      </c>
      <c r="D236" t="s">
        <v>2342</v>
      </c>
      <c r="E236" t="s">
        <v>2036</v>
      </c>
      <c r="F236">
        <v>202204</v>
      </c>
      <c r="G236" t="s">
        <v>186</v>
      </c>
      <c r="H236">
        <v>0</v>
      </c>
    </row>
    <row r="237" spans="1:8">
      <c r="A237">
        <v>5373</v>
      </c>
      <c r="B237" t="s">
        <v>2344</v>
      </c>
      <c r="C237">
        <v>5697</v>
      </c>
      <c r="D237" t="s">
        <v>2342</v>
      </c>
      <c r="E237" t="s">
        <v>2036</v>
      </c>
      <c r="F237">
        <v>202204</v>
      </c>
      <c r="G237" t="s">
        <v>2169</v>
      </c>
      <c r="H237">
        <v>302.83999999999997</v>
      </c>
    </row>
    <row r="238" spans="1:8">
      <c r="A238">
        <v>5373</v>
      </c>
      <c r="B238" t="s">
        <v>2344</v>
      </c>
      <c r="C238">
        <v>5697</v>
      </c>
      <c r="D238" t="s">
        <v>2342</v>
      </c>
      <c r="E238" t="s">
        <v>2036</v>
      </c>
      <c r="F238">
        <v>202204</v>
      </c>
      <c r="G238" t="s">
        <v>2166</v>
      </c>
      <c r="H238">
        <v>11.83</v>
      </c>
    </row>
    <row r="239" spans="1:8">
      <c r="A239">
        <v>5373</v>
      </c>
      <c r="B239" t="s">
        <v>2344</v>
      </c>
      <c r="C239">
        <v>5697</v>
      </c>
      <c r="D239" t="s">
        <v>2342</v>
      </c>
      <c r="E239" t="s">
        <v>2036</v>
      </c>
      <c r="F239">
        <v>202204</v>
      </c>
      <c r="G239" t="s">
        <v>2167</v>
      </c>
      <c r="H239">
        <v>21.22</v>
      </c>
    </row>
    <row r="240" spans="1:8">
      <c r="A240">
        <v>5373</v>
      </c>
      <c r="B240" t="s">
        <v>2344</v>
      </c>
      <c r="C240">
        <v>5697</v>
      </c>
      <c r="D240" t="s">
        <v>2342</v>
      </c>
      <c r="E240" t="s">
        <v>2036</v>
      </c>
      <c r="F240">
        <v>202204</v>
      </c>
      <c r="G240" t="s">
        <v>2168</v>
      </c>
      <c r="H240">
        <v>14.37</v>
      </c>
    </row>
    <row r="241" spans="1:8">
      <c r="A241">
        <v>5373</v>
      </c>
      <c r="B241" t="s">
        <v>2344</v>
      </c>
      <c r="C241">
        <v>5697</v>
      </c>
      <c r="D241" t="s">
        <v>2342</v>
      </c>
      <c r="E241" t="s">
        <v>2036</v>
      </c>
      <c r="F241">
        <v>202204</v>
      </c>
      <c r="G241" t="s">
        <v>2171</v>
      </c>
      <c r="H241">
        <v>210649.56</v>
      </c>
    </row>
    <row r="242" spans="1:8">
      <c r="A242">
        <v>5373</v>
      </c>
      <c r="B242" t="s">
        <v>2344</v>
      </c>
      <c r="C242">
        <v>5697</v>
      </c>
      <c r="D242" t="s">
        <v>2342</v>
      </c>
      <c r="E242" t="s">
        <v>2036</v>
      </c>
      <c r="F242">
        <v>202205</v>
      </c>
      <c r="G242" t="s">
        <v>190</v>
      </c>
      <c r="H242">
        <v>1037311</v>
      </c>
    </row>
    <row r="243" spans="1:8">
      <c r="A243">
        <v>5373</v>
      </c>
      <c r="B243" t="s">
        <v>2344</v>
      </c>
      <c r="C243">
        <v>5697</v>
      </c>
      <c r="D243" t="s">
        <v>2342</v>
      </c>
      <c r="E243" t="s">
        <v>2036</v>
      </c>
      <c r="F243">
        <v>202205</v>
      </c>
      <c r="G243" t="s">
        <v>191</v>
      </c>
      <c r="H243">
        <v>100411</v>
      </c>
    </row>
    <row r="244" spans="1:8">
      <c r="A244">
        <v>5373</v>
      </c>
      <c r="B244" t="s">
        <v>2344</v>
      </c>
      <c r="C244">
        <v>5697</v>
      </c>
      <c r="D244" t="s">
        <v>2342</v>
      </c>
      <c r="E244" t="s">
        <v>2036</v>
      </c>
      <c r="F244">
        <v>202205</v>
      </c>
      <c r="G244" t="s">
        <v>176</v>
      </c>
      <c r="H244">
        <v>-230.61</v>
      </c>
    </row>
    <row r="245" spans="1:8">
      <c r="A245">
        <v>5373</v>
      </c>
      <c r="B245" t="s">
        <v>2344</v>
      </c>
      <c r="C245">
        <v>5697</v>
      </c>
      <c r="D245" t="s">
        <v>2342</v>
      </c>
      <c r="E245" t="s">
        <v>2036</v>
      </c>
      <c r="F245">
        <v>202205</v>
      </c>
      <c r="G245" t="s">
        <v>178</v>
      </c>
      <c r="H245">
        <v>2800</v>
      </c>
    </row>
    <row r="246" spans="1:8">
      <c r="A246">
        <v>5373</v>
      </c>
      <c r="B246" t="s">
        <v>2344</v>
      </c>
      <c r="C246">
        <v>5697</v>
      </c>
      <c r="D246" t="s">
        <v>2342</v>
      </c>
      <c r="E246" t="s">
        <v>2036</v>
      </c>
      <c r="F246">
        <v>202205</v>
      </c>
      <c r="G246" t="s">
        <v>180</v>
      </c>
      <c r="H246">
        <v>2000</v>
      </c>
    </row>
    <row r="247" spans="1:8">
      <c r="A247">
        <v>5373</v>
      </c>
      <c r="B247" t="s">
        <v>2344</v>
      </c>
      <c r="C247">
        <v>5697</v>
      </c>
      <c r="D247" t="s">
        <v>2342</v>
      </c>
      <c r="E247" t="s">
        <v>2036</v>
      </c>
      <c r="F247">
        <v>202205</v>
      </c>
      <c r="G247" t="s">
        <v>182</v>
      </c>
      <c r="H247">
        <v>1059274</v>
      </c>
    </row>
    <row r="248" spans="1:8">
      <c r="A248">
        <v>5373</v>
      </c>
      <c r="B248" t="s">
        <v>2344</v>
      </c>
      <c r="C248">
        <v>5697</v>
      </c>
      <c r="D248" t="s">
        <v>2342</v>
      </c>
      <c r="E248" t="s">
        <v>2036</v>
      </c>
      <c r="F248">
        <v>202205</v>
      </c>
      <c r="G248" t="s">
        <v>184</v>
      </c>
      <c r="H248">
        <v>100411</v>
      </c>
    </row>
    <row r="249" spans="1:8">
      <c r="A249">
        <v>5373</v>
      </c>
      <c r="B249" t="s">
        <v>2344</v>
      </c>
      <c r="C249">
        <v>5697</v>
      </c>
      <c r="D249" t="s">
        <v>2342</v>
      </c>
      <c r="E249" t="s">
        <v>2036</v>
      </c>
      <c r="F249">
        <v>202205</v>
      </c>
      <c r="G249" t="s">
        <v>192</v>
      </c>
      <c r="H249">
        <v>0</v>
      </c>
    </row>
    <row r="250" spans="1:8">
      <c r="A250">
        <v>5373</v>
      </c>
      <c r="B250" t="s">
        <v>2344</v>
      </c>
      <c r="C250">
        <v>5697</v>
      </c>
      <c r="D250" t="s">
        <v>2342</v>
      </c>
      <c r="E250" t="s">
        <v>2036</v>
      </c>
      <c r="F250">
        <v>202205</v>
      </c>
      <c r="G250" t="s">
        <v>2170</v>
      </c>
      <c r="H250">
        <v>14205.94</v>
      </c>
    </row>
    <row r="251" spans="1:8">
      <c r="A251">
        <v>5373</v>
      </c>
      <c r="B251" t="s">
        <v>2344</v>
      </c>
      <c r="C251">
        <v>5697</v>
      </c>
      <c r="D251" t="s">
        <v>2342</v>
      </c>
      <c r="E251" t="s">
        <v>2036</v>
      </c>
      <c r="F251">
        <v>202205</v>
      </c>
      <c r="G251" t="s">
        <v>186</v>
      </c>
      <c r="H251">
        <v>21963</v>
      </c>
    </row>
    <row r="252" spans="1:8">
      <c r="A252">
        <v>5373</v>
      </c>
      <c r="B252" t="s">
        <v>2344</v>
      </c>
      <c r="C252">
        <v>5697</v>
      </c>
      <c r="D252" t="s">
        <v>2342</v>
      </c>
      <c r="E252" t="s">
        <v>2036</v>
      </c>
      <c r="F252">
        <v>202205</v>
      </c>
      <c r="G252" t="s">
        <v>2169</v>
      </c>
      <c r="H252">
        <v>302.83999999999997</v>
      </c>
    </row>
    <row r="253" spans="1:8">
      <c r="A253">
        <v>5373</v>
      </c>
      <c r="B253" t="s">
        <v>2344</v>
      </c>
      <c r="C253">
        <v>5697</v>
      </c>
      <c r="D253" t="s">
        <v>2342</v>
      </c>
      <c r="E253" t="s">
        <v>2036</v>
      </c>
      <c r="F253">
        <v>202205</v>
      </c>
      <c r="G253" t="s">
        <v>2166</v>
      </c>
      <c r="H253">
        <v>11.83</v>
      </c>
    </row>
    <row r="254" spans="1:8">
      <c r="A254">
        <v>5373</v>
      </c>
      <c r="B254" t="s">
        <v>2344</v>
      </c>
      <c r="C254">
        <v>5697</v>
      </c>
      <c r="D254" t="s">
        <v>2342</v>
      </c>
      <c r="E254" t="s">
        <v>2036</v>
      </c>
      <c r="F254">
        <v>202205</v>
      </c>
      <c r="G254" t="s">
        <v>2167</v>
      </c>
      <c r="H254">
        <v>21.22</v>
      </c>
    </row>
    <row r="255" spans="1:8">
      <c r="A255">
        <v>5373</v>
      </c>
      <c r="B255" t="s">
        <v>2344</v>
      </c>
      <c r="C255">
        <v>5697</v>
      </c>
      <c r="D255" t="s">
        <v>2342</v>
      </c>
      <c r="E255" t="s">
        <v>2036</v>
      </c>
      <c r="F255">
        <v>202205</v>
      </c>
      <c r="G255" t="s">
        <v>2168</v>
      </c>
      <c r="H255">
        <v>14.37</v>
      </c>
    </row>
    <row r="256" spans="1:8">
      <c r="A256">
        <v>5373</v>
      </c>
      <c r="B256" t="s">
        <v>2344</v>
      </c>
      <c r="C256">
        <v>5697</v>
      </c>
      <c r="D256" t="s">
        <v>2342</v>
      </c>
      <c r="E256" t="s">
        <v>2036</v>
      </c>
      <c r="F256">
        <v>202205</v>
      </c>
      <c r="G256" t="s">
        <v>2171</v>
      </c>
      <c r="H256">
        <v>450751.71</v>
      </c>
    </row>
    <row r="257" spans="1:8">
      <c r="A257">
        <v>5373</v>
      </c>
      <c r="B257" t="s">
        <v>2344</v>
      </c>
      <c r="C257">
        <v>5697</v>
      </c>
      <c r="D257" t="s">
        <v>2342</v>
      </c>
      <c r="E257" t="s">
        <v>2036</v>
      </c>
      <c r="F257">
        <v>202205</v>
      </c>
      <c r="G257" t="s">
        <v>190</v>
      </c>
      <c r="H257">
        <v>407258</v>
      </c>
    </row>
    <row r="258" spans="1:8">
      <c r="A258">
        <v>5373</v>
      </c>
      <c r="B258" t="s">
        <v>2344</v>
      </c>
      <c r="C258">
        <v>5697</v>
      </c>
      <c r="D258" t="s">
        <v>2342</v>
      </c>
      <c r="E258" t="s">
        <v>2036</v>
      </c>
      <c r="F258">
        <v>202205</v>
      </c>
      <c r="G258" t="s">
        <v>191</v>
      </c>
      <c r="H258">
        <v>58648</v>
      </c>
    </row>
    <row r="259" spans="1:8">
      <c r="A259">
        <v>5373</v>
      </c>
      <c r="B259" t="s">
        <v>2344</v>
      </c>
      <c r="C259">
        <v>5697</v>
      </c>
      <c r="D259" t="s">
        <v>2342</v>
      </c>
      <c r="E259" t="s">
        <v>2036</v>
      </c>
      <c r="F259">
        <v>202205</v>
      </c>
      <c r="G259" t="s">
        <v>176</v>
      </c>
      <c r="H259">
        <v>-3123.21</v>
      </c>
    </row>
    <row r="260" spans="1:8">
      <c r="A260">
        <v>5373</v>
      </c>
      <c r="B260" t="s">
        <v>2344</v>
      </c>
      <c r="C260">
        <v>5697</v>
      </c>
      <c r="D260" t="s">
        <v>2342</v>
      </c>
      <c r="E260" t="s">
        <v>2036</v>
      </c>
      <c r="F260">
        <v>202205</v>
      </c>
      <c r="G260" t="s">
        <v>178</v>
      </c>
      <c r="H260">
        <v>1850</v>
      </c>
    </row>
    <row r="261" spans="1:8">
      <c r="A261">
        <v>5373</v>
      </c>
      <c r="B261" t="s">
        <v>2344</v>
      </c>
      <c r="C261">
        <v>5697</v>
      </c>
      <c r="D261" t="s">
        <v>2342</v>
      </c>
      <c r="E261" t="s">
        <v>2036</v>
      </c>
      <c r="F261">
        <v>202205</v>
      </c>
      <c r="G261" t="s">
        <v>180</v>
      </c>
      <c r="H261">
        <v>1650</v>
      </c>
    </row>
    <row r="262" spans="1:8">
      <c r="A262">
        <v>5373</v>
      </c>
      <c r="B262" t="s">
        <v>2344</v>
      </c>
      <c r="C262">
        <v>5697</v>
      </c>
      <c r="D262" t="s">
        <v>2342</v>
      </c>
      <c r="E262" t="s">
        <v>2036</v>
      </c>
      <c r="F262">
        <v>202205</v>
      </c>
      <c r="G262" t="s">
        <v>182</v>
      </c>
      <c r="H262">
        <v>407258</v>
      </c>
    </row>
    <row r="263" spans="1:8">
      <c r="A263">
        <v>5373</v>
      </c>
      <c r="B263" t="s">
        <v>2344</v>
      </c>
      <c r="C263">
        <v>5697</v>
      </c>
      <c r="D263" t="s">
        <v>2342</v>
      </c>
      <c r="E263" t="s">
        <v>2036</v>
      </c>
      <c r="F263">
        <v>202205</v>
      </c>
      <c r="G263" t="s">
        <v>184</v>
      </c>
      <c r="H263">
        <v>58648</v>
      </c>
    </row>
    <row r="264" spans="1:8">
      <c r="A264">
        <v>5373</v>
      </c>
      <c r="B264" t="s">
        <v>2344</v>
      </c>
      <c r="C264">
        <v>5697</v>
      </c>
      <c r="D264" t="s">
        <v>2342</v>
      </c>
      <c r="E264" t="s">
        <v>2036</v>
      </c>
      <c r="F264">
        <v>202205</v>
      </c>
      <c r="G264" t="s">
        <v>192</v>
      </c>
      <c r="H264">
        <v>0</v>
      </c>
    </row>
    <row r="265" spans="1:8">
      <c r="A265">
        <v>5373</v>
      </c>
      <c r="B265" t="s">
        <v>2344</v>
      </c>
      <c r="C265">
        <v>5697</v>
      </c>
      <c r="D265" t="s">
        <v>2342</v>
      </c>
      <c r="E265" t="s">
        <v>2036</v>
      </c>
      <c r="F265">
        <v>202205</v>
      </c>
      <c r="G265" t="s">
        <v>2170</v>
      </c>
      <c r="H265">
        <v>6657.39</v>
      </c>
    </row>
    <row r="266" spans="1:8">
      <c r="A266">
        <v>5373</v>
      </c>
      <c r="B266" t="s">
        <v>2344</v>
      </c>
      <c r="C266">
        <v>5697</v>
      </c>
      <c r="D266" t="s">
        <v>2342</v>
      </c>
      <c r="E266" t="s">
        <v>2036</v>
      </c>
      <c r="F266">
        <v>202205</v>
      </c>
      <c r="G266" t="s">
        <v>186</v>
      </c>
      <c r="H266">
        <v>0</v>
      </c>
    </row>
    <row r="267" spans="1:8">
      <c r="A267">
        <v>5373</v>
      </c>
      <c r="B267" t="s">
        <v>2344</v>
      </c>
      <c r="C267">
        <v>5697</v>
      </c>
      <c r="D267" t="s">
        <v>2342</v>
      </c>
      <c r="E267" t="s">
        <v>2036</v>
      </c>
      <c r="F267">
        <v>202205</v>
      </c>
      <c r="G267" t="s">
        <v>2169</v>
      </c>
      <c r="H267">
        <v>302.83999999999997</v>
      </c>
    </row>
    <row r="268" spans="1:8">
      <c r="A268">
        <v>5373</v>
      </c>
      <c r="B268" t="s">
        <v>2344</v>
      </c>
      <c r="C268">
        <v>5697</v>
      </c>
      <c r="D268" t="s">
        <v>2342</v>
      </c>
      <c r="E268" t="s">
        <v>2036</v>
      </c>
      <c r="F268">
        <v>202205</v>
      </c>
      <c r="G268" t="s">
        <v>2166</v>
      </c>
      <c r="H268">
        <v>11.83</v>
      </c>
    </row>
    <row r="269" spans="1:8">
      <c r="A269">
        <v>5373</v>
      </c>
      <c r="B269" t="s">
        <v>2344</v>
      </c>
      <c r="C269">
        <v>5697</v>
      </c>
      <c r="D269" t="s">
        <v>2342</v>
      </c>
      <c r="E269" t="s">
        <v>2036</v>
      </c>
      <c r="F269">
        <v>202205</v>
      </c>
      <c r="G269" t="s">
        <v>2167</v>
      </c>
      <c r="H269">
        <v>21.22</v>
      </c>
    </row>
    <row r="270" spans="1:8">
      <c r="A270">
        <v>5373</v>
      </c>
      <c r="B270" t="s">
        <v>2344</v>
      </c>
      <c r="C270">
        <v>5697</v>
      </c>
      <c r="D270" t="s">
        <v>2342</v>
      </c>
      <c r="E270" t="s">
        <v>2036</v>
      </c>
      <c r="F270">
        <v>202205</v>
      </c>
      <c r="G270" t="s">
        <v>2168</v>
      </c>
      <c r="H270">
        <v>14.37</v>
      </c>
    </row>
    <row r="271" spans="1:8">
      <c r="A271">
        <v>5373</v>
      </c>
      <c r="B271" t="s">
        <v>2344</v>
      </c>
      <c r="C271">
        <v>5697</v>
      </c>
      <c r="D271" t="s">
        <v>2342</v>
      </c>
      <c r="E271" t="s">
        <v>2036</v>
      </c>
      <c r="F271">
        <v>202205</v>
      </c>
      <c r="G271" t="s">
        <v>2171</v>
      </c>
      <c r="H271">
        <v>208222.71</v>
      </c>
    </row>
    <row r="272" spans="1:8">
      <c r="A272">
        <v>5373</v>
      </c>
      <c r="B272" t="s">
        <v>2344</v>
      </c>
      <c r="C272">
        <v>5697</v>
      </c>
      <c r="D272" t="s">
        <v>2342</v>
      </c>
      <c r="E272" t="s">
        <v>2036</v>
      </c>
      <c r="F272">
        <v>202206</v>
      </c>
      <c r="G272" t="s">
        <v>190</v>
      </c>
      <c r="H272">
        <v>408523</v>
      </c>
    </row>
    <row r="273" spans="1:8">
      <c r="A273">
        <v>5373</v>
      </c>
      <c r="B273" t="s">
        <v>2344</v>
      </c>
      <c r="C273">
        <v>5697</v>
      </c>
      <c r="D273" t="s">
        <v>2342</v>
      </c>
      <c r="E273" t="s">
        <v>2036</v>
      </c>
      <c r="F273">
        <v>202206</v>
      </c>
      <c r="G273" t="s">
        <v>191</v>
      </c>
      <c r="H273">
        <v>57050</v>
      </c>
    </row>
    <row r="274" spans="1:8">
      <c r="A274">
        <v>5373</v>
      </c>
      <c r="B274" t="s">
        <v>2344</v>
      </c>
      <c r="C274">
        <v>5697</v>
      </c>
      <c r="D274" t="s">
        <v>2342</v>
      </c>
      <c r="E274" t="s">
        <v>2036</v>
      </c>
      <c r="F274">
        <v>202206</v>
      </c>
      <c r="G274" t="s">
        <v>176</v>
      </c>
      <c r="H274">
        <v>0</v>
      </c>
    </row>
    <row r="275" spans="1:8">
      <c r="A275">
        <v>5373</v>
      </c>
      <c r="B275" t="s">
        <v>2344</v>
      </c>
      <c r="C275">
        <v>5697</v>
      </c>
      <c r="D275" t="s">
        <v>2342</v>
      </c>
      <c r="E275" t="s">
        <v>2036</v>
      </c>
      <c r="F275">
        <v>202206</v>
      </c>
      <c r="G275" t="s">
        <v>178</v>
      </c>
      <c r="H275">
        <v>1850</v>
      </c>
    </row>
    <row r="276" spans="1:8">
      <c r="A276">
        <v>5373</v>
      </c>
      <c r="B276" t="s">
        <v>2344</v>
      </c>
      <c r="C276">
        <v>5697</v>
      </c>
      <c r="D276" t="s">
        <v>2342</v>
      </c>
      <c r="E276" t="s">
        <v>2036</v>
      </c>
      <c r="F276">
        <v>202206</v>
      </c>
      <c r="G276" t="s">
        <v>180</v>
      </c>
      <c r="H276">
        <v>1650</v>
      </c>
    </row>
    <row r="277" spans="1:8">
      <c r="A277">
        <v>5373</v>
      </c>
      <c r="B277" t="s">
        <v>2344</v>
      </c>
      <c r="C277">
        <v>5697</v>
      </c>
      <c r="D277" t="s">
        <v>2342</v>
      </c>
      <c r="E277" t="s">
        <v>2036</v>
      </c>
      <c r="F277">
        <v>202206</v>
      </c>
      <c r="G277" t="s">
        <v>182</v>
      </c>
      <c r="H277">
        <v>408523</v>
      </c>
    </row>
    <row r="278" spans="1:8">
      <c r="A278">
        <v>5373</v>
      </c>
      <c r="B278" t="s">
        <v>2344</v>
      </c>
      <c r="C278">
        <v>5697</v>
      </c>
      <c r="D278" t="s">
        <v>2342</v>
      </c>
      <c r="E278" t="s">
        <v>2036</v>
      </c>
      <c r="F278">
        <v>202206</v>
      </c>
      <c r="G278" t="s">
        <v>184</v>
      </c>
      <c r="H278">
        <v>57050</v>
      </c>
    </row>
    <row r="279" spans="1:8">
      <c r="A279">
        <v>5373</v>
      </c>
      <c r="B279" t="s">
        <v>2344</v>
      </c>
      <c r="C279">
        <v>5697</v>
      </c>
      <c r="D279" t="s">
        <v>2342</v>
      </c>
      <c r="E279" t="s">
        <v>2036</v>
      </c>
      <c r="F279">
        <v>202206</v>
      </c>
      <c r="G279" t="s">
        <v>192</v>
      </c>
      <c r="H279">
        <v>0</v>
      </c>
    </row>
    <row r="280" spans="1:8">
      <c r="A280">
        <v>5373</v>
      </c>
      <c r="B280" t="s">
        <v>2344</v>
      </c>
      <c r="C280">
        <v>5697</v>
      </c>
      <c r="D280" t="s">
        <v>2342</v>
      </c>
      <c r="E280" t="s">
        <v>2036</v>
      </c>
      <c r="F280">
        <v>202206</v>
      </c>
      <c r="G280" t="s">
        <v>2170</v>
      </c>
      <c r="H280">
        <v>8413.34</v>
      </c>
    </row>
    <row r="281" spans="1:8">
      <c r="A281">
        <v>5373</v>
      </c>
      <c r="B281" t="s">
        <v>2344</v>
      </c>
      <c r="C281">
        <v>5697</v>
      </c>
      <c r="D281" t="s">
        <v>2342</v>
      </c>
      <c r="E281" t="s">
        <v>2036</v>
      </c>
      <c r="F281">
        <v>202206</v>
      </c>
      <c r="G281" t="s">
        <v>186</v>
      </c>
      <c r="H281">
        <v>0</v>
      </c>
    </row>
    <row r="282" spans="1:8">
      <c r="A282">
        <v>5373</v>
      </c>
      <c r="B282" t="s">
        <v>2344</v>
      </c>
      <c r="C282">
        <v>5697</v>
      </c>
      <c r="D282" t="s">
        <v>2342</v>
      </c>
      <c r="E282" t="s">
        <v>2036</v>
      </c>
      <c r="F282">
        <v>202206</v>
      </c>
      <c r="G282" t="s">
        <v>2169</v>
      </c>
      <c r="H282">
        <v>302.83999999999997</v>
      </c>
    </row>
    <row r="283" spans="1:8">
      <c r="A283">
        <v>5373</v>
      </c>
      <c r="B283" t="s">
        <v>2344</v>
      </c>
      <c r="C283">
        <v>5697</v>
      </c>
      <c r="D283" t="s">
        <v>2342</v>
      </c>
      <c r="E283" t="s">
        <v>2036</v>
      </c>
      <c r="F283">
        <v>202206</v>
      </c>
      <c r="G283" t="s">
        <v>2166</v>
      </c>
      <c r="H283">
        <v>11.83</v>
      </c>
    </row>
    <row r="284" spans="1:8">
      <c r="A284">
        <v>5373</v>
      </c>
      <c r="B284" t="s">
        <v>2344</v>
      </c>
      <c r="C284">
        <v>5697</v>
      </c>
      <c r="D284" t="s">
        <v>2342</v>
      </c>
      <c r="E284" t="s">
        <v>2036</v>
      </c>
      <c r="F284">
        <v>202206</v>
      </c>
      <c r="G284" t="s">
        <v>2167</v>
      </c>
      <c r="H284">
        <v>21.22</v>
      </c>
    </row>
    <row r="285" spans="1:8">
      <c r="A285">
        <v>5373</v>
      </c>
      <c r="B285" t="s">
        <v>2344</v>
      </c>
      <c r="C285">
        <v>5697</v>
      </c>
      <c r="D285" t="s">
        <v>2342</v>
      </c>
      <c r="E285" t="s">
        <v>2036</v>
      </c>
      <c r="F285">
        <v>202206</v>
      </c>
      <c r="G285" t="s">
        <v>2168</v>
      </c>
      <c r="H285">
        <v>14.37</v>
      </c>
    </row>
    <row r="286" spans="1:8">
      <c r="A286">
        <v>5373</v>
      </c>
      <c r="B286" t="s">
        <v>2344</v>
      </c>
      <c r="C286">
        <v>5697</v>
      </c>
      <c r="D286" t="s">
        <v>2342</v>
      </c>
      <c r="E286" t="s">
        <v>2036</v>
      </c>
      <c r="F286">
        <v>202206</v>
      </c>
      <c r="G286" t="s">
        <v>2171</v>
      </c>
      <c r="H286">
        <v>212996.23</v>
      </c>
    </row>
    <row r="287" spans="1:8">
      <c r="A287">
        <v>5373</v>
      </c>
      <c r="B287" t="s">
        <v>2344</v>
      </c>
      <c r="C287">
        <v>5697</v>
      </c>
      <c r="D287" t="s">
        <v>2342</v>
      </c>
      <c r="E287" t="s">
        <v>2036</v>
      </c>
      <c r="F287">
        <v>202206</v>
      </c>
      <c r="G287" t="s">
        <v>190</v>
      </c>
      <c r="H287">
        <v>981358</v>
      </c>
    </row>
    <row r="288" spans="1:8">
      <c r="A288">
        <v>5373</v>
      </c>
      <c r="B288" t="s">
        <v>2344</v>
      </c>
      <c r="C288">
        <v>5697</v>
      </c>
      <c r="D288" t="s">
        <v>2342</v>
      </c>
      <c r="E288" t="s">
        <v>2036</v>
      </c>
      <c r="F288">
        <v>202206</v>
      </c>
      <c r="G288" t="s">
        <v>191</v>
      </c>
      <c r="H288">
        <v>94018</v>
      </c>
    </row>
    <row r="289" spans="1:8">
      <c r="A289">
        <v>5373</v>
      </c>
      <c r="B289" t="s">
        <v>2344</v>
      </c>
      <c r="C289">
        <v>5697</v>
      </c>
      <c r="D289" t="s">
        <v>2342</v>
      </c>
      <c r="E289" t="s">
        <v>2036</v>
      </c>
      <c r="F289">
        <v>202206</v>
      </c>
      <c r="G289" t="s">
        <v>176</v>
      </c>
      <c r="H289">
        <v>0</v>
      </c>
    </row>
    <row r="290" spans="1:8">
      <c r="A290">
        <v>5373</v>
      </c>
      <c r="B290" t="s">
        <v>2344</v>
      </c>
      <c r="C290">
        <v>5697</v>
      </c>
      <c r="D290" t="s">
        <v>2342</v>
      </c>
      <c r="E290" t="s">
        <v>2036</v>
      </c>
      <c r="F290">
        <v>202206</v>
      </c>
      <c r="G290" t="s">
        <v>178</v>
      </c>
      <c r="H290">
        <v>2800</v>
      </c>
    </row>
    <row r="291" spans="1:8">
      <c r="A291">
        <v>5373</v>
      </c>
      <c r="B291" t="s">
        <v>2344</v>
      </c>
      <c r="C291">
        <v>5697</v>
      </c>
      <c r="D291" t="s">
        <v>2342</v>
      </c>
      <c r="E291" t="s">
        <v>2036</v>
      </c>
      <c r="F291">
        <v>202206</v>
      </c>
      <c r="G291" t="s">
        <v>180</v>
      </c>
      <c r="H291">
        <v>2000</v>
      </c>
    </row>
    <row r="292" spans="1:8">
      <c r="A292">
        <v>5373</v>
      </c>
      <c r="B292" t="s">
        <v>2344</v>
      </c>
      <c r="C292">
        <v>5697</v>
      </c>
      <c r="D292" t="s">
        <v>2342</v>
      </c>
      <c r="E292" t="s">
        <v>2036</v>
      </c>
      <c r="F292">
        <v>202206</v>
      </c>
      <c r="G292" t="s">
        <v>182</v>
      </c>
      <c r="H292">
        <v>1003306</v>
      </c>
    </row>
    <row r="293" spans="1:8">
      <c r="A293">
        <v>5373</v>
      </c>
      <c r="B293" t="s">
        <v>2344</v>
      </c>
      <c r="C293">
        <v>5697</v>
      </c>
      <c r="D293" t="s">
        <v>2342</v>
      </c>
      <c r="E293" t="s">
        <v>2036</v>
      </c>
      <c r="F293">
        <v>202206</v>
      </c>
      <c r="G293" t="s">
        <v>184</v>
      </c>
      <c r="H293">
        <v>94018</v>
      </c>
    </row>
    <row r="294" spans="1:8">
      <c r="A294">
        <v>5373</v>
      </c>
      <c r="B294" t="s">
        <v>2344</v>
      </c>
      <c r="C294">
        <v>5697</v>
      </c>
      <c r="D294" t="s">
        <v>2342</v>
      </c>
      <c r="E294" t="s">
        <v>2036</v>
      </c>
      <c r="F294">
        <v>202206</v>
      </c>
      <c r="G294" t="s">
        <v>192</v>
      </c>
      <c r="H294">
        <v>0</v>
      </c>
    </row>
    <row r="295" spans="1:8">
      <c r="A295">
        <v>5373</v>
      </c>
      <c r="B295" t="s">
        <v>2344</v>
      </c>
      <c r="C295">
        <v>5697</v>
      </c>
      <c r="D295" t="s">
        <v>2342</v>
      </c>
      <c r="E295" t="s">
        <v>2036</v>
      </c>
      <c r="F295">
        <v>202206</v>
      </c>
      <c r="G295" t="s">
        <v>2170</v>
      </c>
      <c r="H295">
        <v>17148.84</v>
      </c>
    </row>
    <row r="296" spans="1:8">
      <c r="A296">
        <v>5373</v>
      </c>
      <c r="B296" t="s">
        <v>2344</v>
      </c>
      <c r="C296">
        <v>5697</v>
      </c>
      <c r="D296" t="s">
        <v>2342</v>
      </c>
      <c r="E296" t="s">
        <v>2036</v>
      </c>
      <c r="F296">
        <v>202206</v>
      </c>
      <c r="G296" t="s">
        <v>186</v>
      </c>
      <c r="H296">
        <v>21948</v>
      </c>
    </row>
    <row r="297" spans="1:8">
      <c r="A297">
        <v>5373</v>
      </c>
      <c r="B297" t="s">
        <v>2344</v>
      </c>
      <c r="C297">
        <v>5697</v>
      </c>
      <c r="D297" t="s">
        <v>2342</v>
      </c>
      <c r="E297" t="s">
        <v>2036</v>
      </c>
      <c r="F297">
        <v>202206</v>
      </c>
      <c r="G297" t="s">
        <v>2169</v>
      </c>
      <c r="H297">
        <v>302.83999999999997</v>
      </c>
    </row>
    <row r="298" spans="1:8">
      <c r="A298">
        <v>5373</v>
      </c>
      <c r="B298" t="s">
        <v>2344</v>
      </c>
      <c r="C298">
        <v>5697</v>
      </c>
      <c r="D298" t="s">
        <v>2342</v>
      </c>
      <c r="E298" t="s">
        <v>2036</v>
      </c>
      <c r="F298">
        <v>202206</v>
      </c>
      <c r="G298" t="s">
        <v>2166</v>
      </c>
      <c r="H298">
        <v>11.83</v>
      </c>
    </row>
    <row r="299" spans="1:8">
      <c r="A299">
        <v>5373</v>
      </c>
      <c r="B299" t="s">
        <v>2344</v>
      </c>
      <c r="C299">
        <v>5697</v>
      </c>
      <c r="D299" t="s">
        <v>2342</v>
      </c>
      <c r="E299" t="s">
        <v>2036</v>
      </c>
      <c r="F299">
        <v>202206</v>
      </c>
      <c r="G299" t="s">
        <v>2167</v>
      </c>
      <c r="H299">
        <v>21.22</v>
      </c>
    </row>
    <row r="300" spans="1:8">
      <c r="A300">
        <v>5373</v>
      </c>
      <c r="B300" t="s">
        <v>2344</v>
      </c>
      <c r="C300">
        <v>5697</v>
      </c>
      <c r="D300" t="s">
        <v>2342</v>
      </c>
      <c r="E300" t="s">
        <v>2036</v>
      </c>
      <c r="F300">
        <v>202206</v>
      </c>
      <c r="G300" t="s">
        <v>2168</v>
      </c>
      <c r="H300">
        <v>14.37</v>
      </c>
    </row>
    <row r="301" spans="1:8">
      <c r="A301">
        <v>5373</v>
      </c>
      <c r="B301" t="s">
        <v>2344</v>
      </c>
      <c r="C301">
        <v>5697</v>
      </c>
      <c r="D301" t="s">
        <v>2342</v>
      </c>
      <c r="E301" t="s">
        <v>2036</v>
      </c>
      <c r="F301">
        <v>202206</v>
      </c>
      <c r="G301" t="s">
        <v>2171</v>
      </c>
      <c r="H301">
        <v>434148.23</v>
      </c>
    </row>
    <row r="302" spans="1:8">
      <c r="A302">
        <v>5373</v>
      </c>
      <c r="B302" t="s">
        <v>2344</v>
      </c>
      <c r="C302">
        <v>5697</v>
      </c>
      <c r="D302" t="s">
        <v>2342</v>
      </c>
      <c r="E302" t="s">
        <v>2036</v>
      </c>
      <c r="F302">
        <v>202207</v>
      </c>
      <c r="G302" t="s">
        <v>190</v>
      </c>
      <c r="H302">
        <v>1028298</v>
      </c>
    </row>
    <row r="303" spans="1:8">
      <c r="A303">
        <v>5373</v>
      </c>
      <c r="B303" t="s">
        <v>2344</v>
      </c>
      <c r="C303">
        <v>5697</v>
      </c>
      <c r="D303" t="s">
        <v>2342</v>
      </c>
      <c r="E303" t="s">
        <v>2036</v>
      </c>
      <c r="F303">
        <v>202207</v>
      </c>
      <c r="G303" t="s">
        <v>191</v>
      </c>
      <c r="H303">
        <v>95647</v>
      </c>
    </row>
    <row r="304" spans="1:8">
      <c r="A304">
        <v>5373</v>
      </c>
      <c r="B304" t="s">
        <v>2344</v>
      </c>
      <c r="C304">
        <v>5697</v>
      </c>
      <c r="D304" t="s">
        <v>2342</v>
      </c>
      <c r="E304" t="s">
        <v>2036</v>
      </c>
      <c r="F304">
        <v>202207</v>
      </c>
      <c r="G304" t="s">
        <v>176</v>
      </c>
      <c r="H304">
        <v>0</v>
      </c>
    </row>
    <row r="305" spans="1:8">
      <c r="A305">
        <v>5373</v>
      </c>
      <c r="B305" t="s">
        <v>2344</v>
      </c>
      <c r="C305">
        <v>5697</v>
      </c>
      <c r="D305" t="s">
        <v>2342</v>
      </c>
      <c r="E305" t="s">
        <v>2036</v>
      </c>
      <c r="F305">
        <v>202207</v>
      </c>
      <c r="G305" t="s">
        <v>178</v>
      </c>
      <c r="H305">
        <v>2800</v>
      </c>
    </row>
    <row r="306" spans="1:8">
      <c r="A306">
        <v>5373</v>
      </c>
      <c r="B306" t="s">
        <v>2344</v>
      </c>
      <c r="C306">
        <v>5697</v>
      </c>
      <c r="D306" t="s">
        <v>2342</v>
      </c>
      <c r="E306" t="s">
        <v>2036</v>
      </c>
      <c r="F306">
        <v>202207</v>
      </c>
      <c r="G306" t="s">
        <v>180</v>
      </c>
      <c r="H306">
        <v>2000</v>
      </c>
    </row>
    <row r="307" spans="1:8">
      <c r="A307">
        <v>5373</v>
      </c>
      <c r="B307" t="s">
        <v>2344</v>
      </c>
      <c r="C307">
        <v>5697</v>
      </c>
      <c r="D307" t="s">
        <v>2342</v>
      </c>
      <c r="E307" t="s">
        <v>2036</v>
      </c>
      <c r="F307">
        <v>202207</v>
      </c>
      <c r="G307" t="s">
        <v>182</v>
      </c>
      <c r="H307">
        <v>1051039</v>
      </c>
    </row>
    <row r="308" spans="1:8">
      <c r="A308">
        <v>5373</v>
      </c>
      <c r="B308" t="s">
        <v>2344</v>
      </c>
      <c r="C308">
        <v>5697</v>
      </c>
      <c r="D308" t="s">
        <v>2342</v>
      </c>
      <c r="E308" t="s">
        <v>2036</v>
      </c>
      <c r="F308">
        <v>202207</v>
      </c>
      <c r="G308" t="s">
        <v>184</v>
      </c>
      <c r="H308">
        <v>95647</v>
      </c>
    </row>
    <row r="309" spans="1:8">
      <c r="A309">
        <v>5373</v>
      </c>
      <c r="B309" t="s">
        <v>2344</v>
      </c>
      <c r="C309">
        <v>5697</v>
      </c>
      <c r="D309" t="s">
        <v>2342</v>
      </c>
      <c r="E309" t="s">
        <v>2036</v>
      </c>
      <c r="F309">
        <v>202207</v>
      </c>
      <c r="G309" t="s">
        <v>192</v>
      </c>
      <c r="H309">
        <v>0</v>
      </c>
    </row>
    <row r="310" spans="1:8">
      <c r="A310">
        <v>5373</v>
      </c>
      <c r="B310" t="s">
        <v>2344</v>
      </c>
      <c r="C310">
        <v>5697</v>
      </c>
      <c r="D310" t="s">
        <v>2342</v>
      </c>
      <c r="E310" t="s">
        <v>2036</v>
      </c>
      <c r="F310">
        <v>202207</v>
      </c>
      <c r="G310" t="s">
        <v>2170</v>
      </c>
      <c r="H310">
        <v>22806.720000000001</v>
      </c>
    </row>
    <row r="311" spans="1:8">
      <c r="A311">
        <v>5373</v>
      </c>
      <c r="B311" t="s">
        <v>2344</v>
      </c>
      <c r="C311">
        <v>5697</v>
      </c>
      <c r="D311" t="s">
        <v>2342</v>
      </c>
      <c r="E311" t="s">
        <v>2036</v>
      </c>
      <c r="F311">
        <v>202207</v>
      </c>
      <c r="G311" t="s">
        <v>186</v>
      </c>
      <c r="H311">
        <v>22741</v>
      </c>
    </row>
    <row r="312" spans="1:8">
      <c r="A312">
        <v>5373</v>
      </c>
      <c r="B312" t="s">
        <v>2344</v>
      </c>
      <c r="C312">
        <v>5697</v>
      </c>
      <c r="D312" t="s">
        <v>2342</v>
      </c>
      <c r="E312" t="s">
        <v>2036</v>
      </c>
      <c r="F312">
        <v>202207</v>
      </c>
      <c r="G312" t="s">
        <v>2169</v>
      </c>
      <c r="H312">
        <v>302.83999999999997</v>
      </c>
    </row>
    <row r="313" spans="1:8">
      <c r="A313">
        <v>5373</v>
      </c>
      <c r="B313" t="s">
        <v>2344</v>
      </c>
      <c r="C313">
        <v>5697</v>
      </c>
      <c r="D313" t="s">
        <v>2342</v>
      </c>
      <c r="E313" t="s">
        <v>2036</v>
      </c>
      <c r="F313">
        <v>202207</v>
      </c>
      <c r="G313" t="s">
        <v>2166</v>
      </c>
      <c r="H313">
        <v>11.83</v>
      </c>
    </row>
    <row r="314" spans="1:8">
      <c r="A314">
        <v>5373</v>
      </c>
      <c r="B314" t="s">
        <v>2344</v>
      </c>
      <c r="C314">
        <v>5697</v>
      </c>
      <c r="D314" t="s">
        <v>2342</v>
      </c>
      <c r="E314" t="s">
        <v>2036</v>
      </c>
      <c r="F314">
        <v>202207</v>
      </c>
      <c r="G314" t="s">
        <v>2167</v>
      </c>
      <c r="H314">
        <v>21.22</v>
      </c>
    </row>
    <row r="315" spans="1:8">
      <c r="A315">
        <v>5373</v>
      </c>
      <c r="B315" t="s">
        <v>2344</v>
      </c>
      <c r="C315">
        <v>5697</v>
      </c>
      <c r="D315" t="s">
        <v>2342</v>
      </c>
      <c r="E315" t="s">
        <v>2036</v>
      </c>
      <c r="F315">
        <v>202207</v>
      </c>
      <c r="G315" t="s">
        <v>2168</v>
      </c>
      <c r="H315">
        <v>14.37</v>
      </c>
    </row>
    <row r="316" spans="1:8">
      <c r="A316">
        <v>5373</v>
      </c>
      <c r="B316" t="s">
        <v>2344</v>
      </c>
      <c r="C316">
        <v>5697</v>
      </c>
      <c r="D316" t="s">
        <v>2342</v>
      </c>
      <c r="E316" t="s">
        <v>2036</v>
      </c>
      <c r="F316">
        <v>202207</v>
      </c>
      <c r="G316" t="s">
        <v>2171</v>
      </c>
      <c r="H316">
        <v>458229.74</v>
      </c>
    </row>
    <row r="317" spans="1:8">
      <c r="A317">
        <v>5373</v>
      </c>
      <c r="B317" t="s">
        <v>2344</v>
      </c>
      <c r="C317">
        <v>5697</v>
      </c>
      <c r="D317" t="s">
        <v>2342</v>
      </c>
      <c r="E317" t="s">
        <v>2036</v>
      </c>
      <c r="F317">
        <v>202207</v>
      </c>
      <c r="G317" t="s">
        <v>190</v>
      </c>
      <c r="H317">
        <v>434313</v>
      </c>
    </row>
    <row r="318" spans="1:8">
      <c r="A318">
        <v>5373</v>
      </c>
      <c r="B318" t="s">
        <v>2344</v>
      </c>
      <c r="C318">
        <v>5697</v>
      </c>
      <c r="D318" t="s">
        <v>2342</v>
      </c>
      <c r="E318" t="s">
        <v>2036</v>
      </c>
      <c r="F318">
        <v>202207</v>
      </c>
      <c r="G318" t="s">
        <v>191</v>
      </c>
      <c r="H318">
        <v>58955</v>
      </c>
    </row>
    <row r="319" spans="1:8">
      <c r="A319">
        <v>5373</v>
      </c>
      <c r="B319" t="s">
        <v>2344</v>
      </c>
      <c r="C319">
        <v>5697</v>
      </c>
      <c r="D319" t="s">
        <v>2342</v>
      </c>
      <c r="E319" t="s">
        <v>2036</v>
      </c>
      <c r="F319">
        <v>202207</v>
      </c>
      <c r="G319" t="s">
        <v>176</v>
      </c>
      <c r="H319">
        <v>0</v>
      </c>
    </row>
    <row r="320" spans="1:8">
      <c r="A320">
        <v>5373</v>
      </c>
      <c r="B320" t="s">
        <v>2344</v>
      </c>
      <c r="C320">
        <v>5697</v>
      </c>
      <c r="D320" t="s">
        <v>2342</v>
      </c>
      <c r="E320" t="s">
        <v>2036</v>
      </c>
      <c r="F320">
        <v>202207</v>
      </c>
      <c r="G320" t="s">
        <v>178</v>
      </c>
      <c r="H320">
        <v>1850</v>
      </c>
    </row>
    <row r="321" spans="1:8">
      <c r="A321">
        <v>5373</v>
      </c>
      <c r="B321" t="s">
        <v>2344</v>
      </c>
      <c r="C321">
        <v>5697</v>
      </c>
      <c r="D321" t="s">
        <v>2342</v>
      </c>
      <c r="E321" t="s">
        <v>2036</v>
      </c>
      <c r="F321">
        <v>202207</v>
      </c>
      <c r="G321" t="s">
        <v>180</v>
      </c>
      <c r="H321">
        <v>1650</v>
      </c>
    </row>
    <row r="322" spans="1:8">
      <c r="A322">
        <v>5373</v>
      </c>
      <c r="B322" t="s">
        <v>2344</v>
      </c>
      <c r="C322">
        <v>5697</v>
      </c>
      <c r="D322" t="s">
        <v>2342</v>
      </c>
      <c r="E322" t="s">
        <v>2036</v>
      </c>
      <c r="F322">
        <v>202207</v>
      </c>
      <c r="G322" t="s">
        <v>182</v>
      </c>
      <c r="H322">
        <v>434313</v>
      </c>
    </row>
    <row r="323" spans="1:8">
      <c r="A323">
        <v>5373</v>
      </c>
      <c r="B323" t="s">
        <v>2344</v>
      </c>
      <c r="C323">
        <v>5697</v>
      </c>
      <c r="D323" t="s">
        <v>2342</v>
      </c>
      <c r="E323" t="s">
        <v>2036</v>
      </c>
      <c r="F323">
        <v>202207</v>
      </c>
      <c r="G323" t="s">
        <v>184</v>
      </c>
      <c r="H323">
        <v>58955</v>
      </c>
    </row>
    <row r="324" spans="1:8">
      <c r="A324">
        <v>5373</v>
      </c>
      <c r="B324" t="s">
        <v>2344</v>
      </c>
      <c r="C324">
        <v>5697</v>
      </c>
      <c r="D324" t="s">
        <v>2342</v>
      </c>
      <c r="E324" t="s">
        <v>2036</v>
      </c>
      <c r="F324">
        <v>202207</v>
      </c>
      <c r="G324" t="s">
        <v>192</v>
      </c>
      <c r="H324">
        <v>0</v>
      </c>
    </row>
    <row r="325" spans="1:8">
      <c r="A325">
        <v>5373</v>
      </c>
      <c r="B325" t="s">
        <v>2344</v>
      </c>
      <c r="C325">
        <v>5697</v>
      </c>
      <c r="D325" t="s">
        <v>2342</v>
      </c>
      <c r="E325" t="s">
        <v>2036</v>
      </c>
      <c r="F325">
        <v>202207</v>
      </c>
      <c r="G325" t="s">
        <v>2170</v>
      </c>
      <c r="H325">
        <v>11253.53</v>
      </c>
    </row>
    <row r="326" spans="1:8">
      <c r="A326">
        <v>5373</v>
      </c>
      <c r="B326" t="s">
        <v>2344</v>
      </c>
      <c r="C326">
        <v>5697</v>
      </c>
      <c r="D326" t="s">
        <v>2342</v>
      </c>
      <c r="E326" t="s">
        <v>2036</v>
      </c>
      <c r="F326">
        <v>202207</v>
      </c>
      <c r="G326" t="s">
        <v>186</v>
      </c>
      <c r="H326">
        <v>0</v>
      </c>
    </row>
    <row r="327" spans="1:8">
      <c r="A327">
        <v>5373</v>
      </c>
      <c r="B327" t="s">
        <v>2344</v>
      </c>
      <c r="C327">
        <v>5697</v>
      </c>
      <c r="D327" t="s">
        <v>2342</v>
      </c>
      <c r="E327" t="s">
        <v>2036</v>
      </c>
      <c r="F327">
        <v>202207</v>
      </c>
      <c r="G327" t="s">
        <v>2169</v>
      </c>
      <c r="H327">
        <v>302.83999999999997</v>
      </c>
    </row>
    <row r="328" spans="1:8">
      <c r="A328">
        <v>5373</v>
      </c>
      <c r="B328" t="s">
        <v>2344</v>
      </c>
      <c r="C328">
        <v>5697</v>
      </c>
      <c r="D328" t="s">
        <v>2342</v>
      </c>
      <c r="E328" t="s">
        <v>2036</v>
      </c>
      <c r="F328">
        <v>202207</v>
      </c>
      <c r="G328" t="s">
        <v>2166</v>
      </c>
      <c r="H328">
        <v>11.83</v>
      </c>
    </row>
    <row r="329" spans="1:8">
      <c r="A329">
        <v>5373</v>
      </c>
      <c r="B329" t="s">
        <v>2344</v>
      </c>
      <c r="C329">
        <v>5697</v>
      </c>
      <c r="D329" t="s">
        <v>2342</v>
      </c>
      <c r="E329" t="s">
        <v>2036</v>
      </c>
      <c r="F329">
        <v>202207</v>
      </c>
      <c r="G329" t="s">
        <v>2167</v>
      </c>
      <c r="H329">
        <v>21.22</v>
      </c>
    </row>
    <row r="330" spans="1:8">
      <c r="A330">
        <v>5373</v>
      </c>
      <c r="B330" t="s">
        <v>2344</v>
      </c>
      <c r="C330">
        <v>5697</v>
      </c>
      <c r="D330" t="s">
        <v>2342</v>
      </c>
      <c r="E330" t="s">
        <v>2036</v>
      </c>
      <c r="F330">
        <v>202207</v>
      </c>
      <c r="G330" t="s">
        <v>2168</v>
      </c>
      <c r="H330">
        <v>14.37</v>
      </c>
    </row>
    <row r="331" spans="1:8">
      <c r="A331">
        <v>5373</v>
      </c>
      <c r="B331" t="s">
        <v>2344</v>
      </c>
      <c r="C331">
        <v>5697</v>
      </c>
      <c r="D331" t="s">
        <v>2342</v>
      </c>
      <c r="E331" t="s">
        <v>2036</v>
      </c>
      <c r="F331">
        <v>202207</v>
      </c>
      <c r="G331" t="s">
        <v>2171</v>
      </c>
      <c r="H331">
        <v>224621.55</v>
      </c>
    </row>
    <row r="332" spans="1:8">
      <c r="A332">
        <v>5373</v>
      </c>
      <c r="B332" t="s">
        <v>2344</v>
      </c>
      <c r="C332">
        <v>5697</v>
      </c>
      <c r="D332" t="s">
        <v>2342</v>
      </c>
      <c r="E332" t="s">
        <v>2036</v>
      </c>
      <c r="F332">
        <v>202106</v>
      </c>
      <c r="G332" t="s">
        <v>190</v>
      </c>
      <c r="H332">
        <v>682679</v>
      </c>
    </row>
    <row r="333" spans="1:8">
      <c r="A333">
        <v>5373</v>
      </c>
      <c r="B333" t="s">
        <v>2344</v>
      </c>
      <c r="C333">
        <v>5697</v>
      </c>
      <c r="D333" t="s">
        <v>2342</v>
      </c>
      <c r="E333" t="s">
        <v>2036</v>
      </c>
      <c r="F333">
        <v>202106</v>
      </c>
      <c r="G333" t="s">
        <v>191</v>
      </c>
      <c r="H333">
        <v>60880</v>
      </c>
    </row>
    <row r="334" spans="1:8">
      <c r="A334">
        <v>5373</v>
      </c>
      <c r="B334" t="s">
        <v>2344</v>
      </c>
      <c r="C334">
        <v>5697</v>
      </c>
      <c r="D334" t="s">
        <v>2342</v>
      </c>
      <c r="E334" t="s">
        <v>2036</v>
      </c>
      <c r="F334">
        <v>202106</v>
      </c>
      <c r="G334" t="s">
        <v>176</v>
      </c>
      <c r="H334">
        <v>0</v>
      </c>
    </row>
    <row r="335" spans="1:8">
      <c r="A335">
        <v>5373</v>
      </c>
      <c r="B335" t="s">
        <v>2344</v>
      </c>
      <c r="C335">
        <v>5697</v>
      </c>
      <c r="D335" t="s">
        <v>2342</v>
      </c>
      <c r="E335" t="s">
        <v>2036</v>
      </c>
      <c r="F335">
        <v>202106</v>
      </c>
      <c r="G335" t="s">
        <v>178</v>
      </c>
      <c r="H335">
        <v>2250</v>
      </c>
    </row>
    <row r="336" spans="1:8">
      <c r="A336">
        <v>5373</v>
      </c>
      <c r="B336" t="s">
        <v>2344</v>
      </c>
      <c r="C336">
        <v>5697</v>
      </c>
      <c r="D336" t="s">
        <v>2342</v>
      </c>
      <c r="E336" t="s">
        <v>2036</v>
      </c>
      <c r="F336">
        <v>202106</v>
      </c>
      <c r="G336" t="s">
        <v>180</v>
      </c>
      <c r="H336">
        <v>1389.36</v>
      </c>
    </row>
    <row r="337" spans="1:8">
      <c r="A337">
        <v>5373</v>
      </c>
      <c r="B337" t="s">
        <v>2344</v>
      </c>
      <c r="C337">
        <v>5697</v>
      </c>
      <c r="D337" t="s">
        <v>2342</v>
      </c>
      <c r="E337" t="s">
        <v>2036</v>
      </c>
      <c r="F337">
        <v>202106</v>
      </c>
      <c r="G337" t="s">
        <v>182</v>
      </c>
      <c r="H337">
        <v>714404</v>
      </c>
    </row>
    <row r="338" spans="1:8">
      <c r="A338">
        <v>5373</v>
      </c>
      <c r="B338" t="s">
        <v>2344</v>
      </c>
      <c r="C338">
        <v>5697</v>
      </c>
      <c r="D338" t="s">
        <v>2342</v>
      </c>
      <c r="E338" t="s">
        <v>2036</v>
      </c>
      <c r="F338">
        <v>202106</v>
      </c>
      <c r="G338" t="s">
        <v>184</v>
      </c>
      <c r="H338">
        <v>60880</v>
      </c>
    </row>
    <row r="339" spans="1:8">
      <c r="A339">
        <v>5373</v>
      </c>
      <c r="B339" t="s">
        <v>2344</v>
      </c>
      <c r="C339">
        <v>5697</v>
      </c>
      <c r="D339" t="s">
        <v>2342</v>
      </c>
      <c r="E339" t="s">
        <v>2036</v>
      </c>
      <c r="F339">
        <v>202106</v>
      </c>
      <c r="G339" t="s">
        <v>192</v>
      </c>
      <c r="H339">
        <v>0</v>
      </c>
    </row>
    <row r="340" spans="1:8">
      <c r="A340">
        <v>5373</v>
      </c>
      <c r="B340" t="s">
        <v>2344</v>
      </c>
      <c r="C340">
        <v>5697</v>
      </c>
      <c r="D340" t="s">
        <v>2342</v>
      </c>
      <c r="E340" t="s">
        <v>2036</v>
      </c>
      <c r="F340">
        <v>202106</v>
      </c>
      <c r="G340" t="s">
        <v>2170</v>
      </c>
      <c r="H340">
        <v>8918.8700000000008</v>
      </c>
    </row>
    <row r="341" spans="1:8">
      <c r="A341">
        <v>5373</v>
      </c>
      <c r="B341" t="s">
        <v>2344</v>
      </c>
      <c r="C341">
        <v>5697</v>
      </c>
      <c r="D341" t="s">
        <v>2342</v>
      </c>
      <c r="E341" t="s">
        <v>2036</v>
      </c>
      <c r="F341">
        <v>202106</v>
      </c>
      <c r="G341" t="s">
        <v>186</v>
      </c>
      <c r="H341">
        <v>31725</v>
      </c>
    </row>
    <row r="342" spans="1:8">
      <c r="A342">
        <v>5373</v>
      </c>
      <c r="B342" t="s">
        <v>2344</v>
      </c>
      <c r="C342">
        <v>5697</v>
      </c>
      <c r="D342" t="s">
        <v>2342</v>
      </c>
      <c r="E342" t="s">
        <v>2036</v>
      </c>
      <c r="F342">
        <v>202106</v>
      </c>
      <c r="G342" t="s">
        <v>2169</v>
      </c>
      <c r="H342">
        <v>264.43</v>
      </c>
    </row>
    <row r="343" spans="1:8">
      <c r="A343">
        <v>5373</v>
      </c>
      <c r="B343" t="s">
        <v>2344</v>
      </c>
      <c r="C343">
        <v>5697</v>
      </c>
      <c r="D343" t="s">
        <v>2342</v>
      </c>
      <c r="E343" t="s">
        <v>2036</v>
      </c>
      <c r="F343">
        <v>202106</v>
      </c>
      <c r="G343" t="s">
        <v>2166</v>
      </c>
      <c r="H343">
        <v>12.33</v>
      </c>
    </row>
    <row r="344" spans="1:8">
      <c r="A344">
        <v>5373</v>
      </c>
      <c r="B344" t="s">
        <v>2344</v>
      </c>
      <c r="C344">
        <v>5697</v>
      </c>
      <c r="D344" t="s">
        <v>2342</v>
      </c>
      <c r="E344" t="s">
        <v>2036</v>
      </c>
      <c r="F344">
        <v>202106</v>
      </c>
      <c r="G344" t="s">
        <v>2167</v>
      </c>
      <c r="H344">
        <v>23.94</v>
      </c>
    </row>
    <row r="345" spans="1:8">
      <c r="A345">
        <v>5373</v>
      </c>
      <c r="B345" t="s">
        <v>2344</v>
      </c>
      <c r="C345">
        <v>5697</v>
      </c>
      <c r="D345" t="s">
        <v>2342</v>
      </c>
      <c r="E345" t="s">
        <v>2036</v>
      </c>
      <c r="F345">
        <v>202106</v>
      </c>
      <c r="G345" t="s">
        <v>2168</v>
      </c>
      <c r="H345">
        <v>10.17</v>
      </c>
    </row>
    <row r="346" spans="1:8">
      <c r="A346">
        <v>5373</v>
      </c>
      <c r="B346" t="s">
        <v>2344</v>
      </c>
      <c r="C346">
        <v>5697</v>
      </c>
      <c r="D346" t="s">
        <v>2342</v>
      </c>
      <c r="E346" t="s">
        <v>2036</v>
      </c>
      <c r="F346">
        <v>202106</v>
      </c>
      <c r="G346" t="s">
        <v>2171</v>
      </c>
      <c r="H346">
        <v>274426.55</v>
      </c>
    </row>
    <row r="347" spans="1:8">
      <c r="A347">
        <v>5373</v>
      </c>
      <c r="B347" t="s">
        <v>2344</v>
      </c>
      <c r="C347">
        <v>5697</v>
      </c>
      <c r="D347" t="s">
        <v>2342</v>
      </c>
      <c r="E347" t="s">
        <v>2036</v>
      </c>
      <c r="F347">
        <v>202106</v>
      </c>
      <c r="G347" t="s">
        <v>190</v>
      </c>
      <c r="H347">
        <v>446042</v>
      </c>
    </row>
    <row r="348" spans="1:8">
      <c r="A348">
        <v>5373</v>
      </c>
      <c r="B348" t="s">
        <v>2344</v>
      </c>
      <c r="C348">
        <v>5697</v>
      </c>
      <c r="D348" t="s">
        <v>2342</v>
      </c>
      <c r="E348" t="s">
        <v>2036</v>
      </c>
      <c r="F348">
        <v>202106</v>
      </c>
      <c r="G348" t="s">
        <v>191</v>
      </c>
      <c r="H348">
        <v>56687</v>
      </c>
    </row>
    <row r="349" spans="1:8">
      <c r="A349">
        <v>5373</v>
      </c>
      <c r="B349" t="s">
        <v>2344</v>
      </c>
      <c r="C349">
        <v>5697</v>
      </c>
      <c r="D349" t="s">
        <v>2342</v>
      </c>
      <c r="E349" t="s">
        <v>2036</v>
      </c>
      <c r="F349">
        <v>202106</v>
      </c>
      <c r="G349" t="s">
        <v>176</v>
      </c>
      <c r="H349">
        <v>0</v>
      </c>
    </row>
    <row r="350" spans="1:8">
      <c r="A350">
        <v>5373</v>
      </c>
      <c r="B350" t="s">
        <v>2344</v>
      </c>
      <c r="C350">
        <v>5697</v>
      </c>
      <c r="D350" t="s">
        <v>2342</v>
      </c>
      <c r="E350" t="s">
        <v>2036</v>
      </c>
      <c r="F350">
        <v>202106</v>
      </c>
      <c r="G350" t="s">
        <v>178</v>
      </c>
      <c r="H350">
        <v>1850</v>
      </c>
    </row>
    <row r="351" spans="1:8">
      <c r="A351">
        <v>5373</v>
      </c>
      <c r="B351" t="s">
        <v>2344</v>
      </c>
      <c r="C351">
        <v>5697</v>
      </c>
      <c r="D351" t="s">
        <v>2342</v>
      </c>
      <c r="E351" t="s">
        <v>2036</v>
      </c>
      <c r="F351">
        <v>202106</v>
      </c>
      <c r="G351" t="s">
        <v>180</v>
      </c>
      <c r="H351">
        <v>1650</v>
      </c>
    </row>
    <row r="352" spans="1:8">
      <c r="A352">
        <v>5373</v>
      </c>
      <c r="B352" t="s">
        <v>2344</v>
      </c>
      <c r="C352">
        <v>5697</v>
      </c>
      <c r="D352" t="s">
        <v>2342</v>
      </c>
      <c r="E352" t="s">
        <v>2036</v>
      </c>
      <c r="F352">
        <v>202106</v>
      </c>
      <c r="G352" t="s">
        <v>182</v>
      </c>
      <c r="H352">
        <v>446042</v>
      </c>
    </row>
    <row r="353" spans="1:8">
      <c r="A353">
        <v>5373</v>
      </c>
      <c r="B353" t="s">
        <v>2344</v>
      </c>
      <c r="C353">
        <v>5697</v>
      </c>
      <c r="D353" t="s">
        <v>2342</v>
      </c>
      <c r="E353" t="s">
        <v>2036</v>
      </c>
      <c r="F353">
        <v>202106</v>
      </c>
      <c r="G353" t="s">
        <v>184</v>
      </c>
      <c r="H353">
        <v>56687</v>
      </c>
    </row>
    <row r="354" spans="1:8">
      <c r="A354">
        <v>5373</v>
      </c>
      <c r="B354" t="s">
        <v>2344</v>
      </c>
      <c r="C354">
        <v>5697</v>
      </c>
      <c r="D354" t="s">
        <v>2342</v>
      </c>
      <c r="E354" t="s">
        <v>2036</v>
      </c>
      <c r="F354">
        <v>202106</v>
      </c>
      <c r="G354" t="s">
        <v>192</v>
      </c>
      <c r="H354">
        <v>0</v>
      </c>
    </row>
    <row r="355" spans="1:8">
      <c r="A355">
        <v>5373</v>
      </c>
      <c r="B355" t="s">
        <v>2344</v>
      </c>
      <c r="C355">
        <v>5697</v>
      </c>
      <c r="D355" t="s">
        <v>2342</v>
      </c>
      <c r="E355" t="s">
        <v>2036</v>
      </c>
      <c r="F355">
        <v>202106</v>
      </c>
      <c r="G355" t="s">
        <v>2170</v>
      </c>
      <c r="H355">
        <v>6730.47</v>
      </c>
    </row>
    <row r="356" spans="1:8">
      <c r="A356">
        <v>5373</v>
      </c>
      <c r="B356" t="s">
        <v>2344</v>
      </c>
      <c r="C356">
        <v>5697</v>
      </c>
      <c r="D356" t="s">
        <v>2342</v>
      </c>
      <c r="E356" t="s">
        <v>2036</v>
      </c>
      <c r="F356">
        <v>202106</v>
      </c>
      <c r="G356" t="s">
        <v>186</v>
      </c>
      <c r="H356">
        <v>0</v>
      </c>
    </row>
    <row r="357" spans="1:8">
      <c r="A357">
        <v>5373</v>
      </c>
      <c r="B357" t="s">
        <v>2344</v>
      </c>
      <c r="C357">
        <v>5697</v>
      </c>
      <c r="D357" t="s">
        <v>2342</v>
      </c>
      <c r="E357" t="s">
        <v>2036</v>
      </c>
      <c r="F357">
        <v>202106</v>
      </c>
      <c r="G357" t="s">
        <v>2169</v>
      </c>
      <c r="H357">
        <v>264.43</v>
      </c>
    </row>
    <row r="358" spans="1:8">
      <c r="A358">
        <v>5373</v>
      </c>
      <c r="B358" t="s">
        <v>2344</v>
      </c>
      <c r="C358">
        <v>5697</v>
      </c>
      <c r="D358" t="s">
        <v>2342</v>
      </c>
      <c r="E358" t="s">
        <v>2036</v>
      </c>
      <c r="F358">
        <v>202106</v>
      </c>
      <c r="G358" t="s">
        <v>2166</v>
      </c>
      <c r="H358">
        <v>12.33</v>
      </c>
    </row>
    <row r="359" spans="1:8">
      <c r="A359">
        <v>5373</v>
      </c>
      <c r="B359" t="s">
        <v>2344</v>
      </c>
      <c r="C359">
        <v>5697</v>
      </c>
      <c r="D359" t="s">
        <v>2342</v>
      </c>
      <c r="E359" t="s">
        <v>2036</v>
      </c>
      <c r="F359">
        <v>202106</v>
      </c>
      <c r="G359" t="s">
        <v>2167</v>
      </c>
      <c r="H359">
        <v>23.94</v>
      </c>
    </row>
    <row r="360" spans="1:8">
      <c r="A360">
        <v>5373</v>
      </c>
      <c r="B360" t="s">
        <v>2344</v>
      </c>
      <c r="C360">
        <v>5697</v>
      </c>
      <c r="D360" t="s">
        <v>2342</v>
      </c>
      <c r="E360" t="s">
        <v>2036</v>
      </c>
      <c r="F360">
        <v>202106</v>
      </c>
      <c r="G360" t="s">
        <v>2168</v>
      </c>
      <c r="H360">
        <v>10.17</v>
      </c>
    </row>
    <row r="361" spans="1:8">
      <c r="A361">
        <v>5373</v>
      </c>
      <c r="B361" t="s">
        <v>2344</v>
      </c>
      <c r="C361">
        <v>5697</v>
      </c>
      <c r="D361" t="s">
        <v>2342</v>
      </c>
      <c r="E361" t="s">
        <v>2036</v>
      </c>
      <c r="F361">
        <v>202106</v>
      </c>
      <c r="G361" t="s">
        <v>2171</v>
      </c>
      <c r="H361">
        <v>207091.33</v>
      </c>
    </row>
    <row r="362" spans="1:8">
      <c r="A362">
        <v>5373</v>
      </c>
      <c r="B362" t="s">
        <v>2344</v>
      </c>
      <c r="C362">
        <v>5697</v>
      </c>
      <c r="D362" t="s">
        <v>2342</v>
      </c>
      <c r="E362" t="s">
        <v>2036</v>
      </c>
      <c r="F362">
        <v>202107</v>
      </c>
      <c r="G362" t="s">
        <v>190</v>
      </c>
      <c r="H362">
        <v>497538</v>
      </c>
    </row>
    <row r="363" spans="1:8">
      <c r="A363">
        <v>5373</v>
      </c>
      <c r="B363" t="s">
        <v>2344</v>
      </c>
      <c r="C363">
        <v>5697</v>
      </c>
      <c r="D363" t="s">
        <v>2342</v>
      </c>
      <c r="E363" t="s">
        <v>2036</v>
      </c>
      <c r="F363">
        <v>202107</v>
      </c>
      <c r="G363" t="s">
        <v>191</v>
      </c>
      <c r="H363">
        <v>65962</v>
      </c>
    </row>
    <row r="364" spans="1:8">
      <c r="A364">
        <v>5373</v>
      </c>
      <c r="B364" t="s">
        <v>2344</v>
      </c>
      <c r="C364">
        <v>5697</v>
      </c>
      <c r="D364" t="s">
        <v>2342</v>
      </c>
      <c r="E364" t="s">
        <v>2036</v>
      </c>
      <c r="F364">
        <v>202107</v>
      </c>
      <c r="G364" t="s">
        <v>176</v>
      </c>
      <c r="H364">
        <v>0</v>
      </c>
    </row>
    <row r="365" spans="1:8">
      <c r="A365">
        <v>5373</v>
      </c>
      <c r="B365" t="s">
        <v>2344</v>
      </c>
      <c r="C365">
        <v>5697</v>
      </c>
      <c r="D365" t="s">
        <v>2342</v>
      </c>
      <c r="E365" t="s">
        <v>2036</v>
      </c>
      <c r="F365">
        <v>202107</v>
      </c>
      <c r="G365" t="s">
        <v>178</v>
      </c>
      <c r="H365">
        <v>1850</v>
      </c>
    </row>
    <row r="366" spans="1:8">
      <c r="A366">
        <v>5373</v>
      </c>
      <c r="B366" t="s">
        <v>2344</v>
      </c>
      <c r="C366">
        <v>5697</v>
      </c>
      <c r="D366" t="s">
        <v>2342</v>
      </c>
      <c r="E366" t="s">
        <v>2036</v>
      </c>
      <c r="F366">
        <v>202107</v>
      </c>
      <c r="G366" t="s">
        <v>180</v>
      </c>
      <c r="H366">
        <v>1650</v>
      </c>
    </row>
    <row r="367" spans="1:8">
      <c r="A367">
        <v>5373</v>
      </c>
      <c r="B367" t="s">
        <v>2344</v>
      </c>
      <c r="C367">
        <v>5697</v>
      </c>
      <c r="D367" t="s">
        <v>2342</v>
      </c>
      <c r="E367" t="s">
        <v>2036</v>
      </c>
      <c r="F367">
        <v>202107</v>
      </c>
      <c r="G367" t="s">
        <v>182</v>
      </c>
      <c r="H367">
        <v>497538</v>
      </c>
    </row>
    <row r="368" spans="1:8">
      <c r="A368">
        <v>5373</v>
      </c>
      <c r="B368" t="s">
        <v>2344</v>
      </c>
      <c r="C368">
        <v>5697</v>
      </c>
      <c r="D368" t="s">
        <v>2342</v>
      </c>
      <c r="E368" t="s">
        <v>2036</v>
      </c>
      <c r="F368">
        <v>202107</v>
      </c>
      <c r="G368" t="s">
        <v>184</v>
      </c>
      <c r="H368">
        <v>65962</v>
      </c>
    </row>
    <row r="369" spans="1:8">
      <c r="A369">
        <v>5373</v>
      </c>
      <c r="B369" t="s">
        <v>2344</v>
      </c>
      <c r="C369">
        <v>5697</v>
      </c>
      <c r="D369" t="s">
        <v>2342</v>
      </c>
      <c r="E369" t="s">
        <v>2036</v>
      </c>
      <c r="F369">
        <v>202107</v>
      </c>
      <c r="G369" t="s">
        <v>192</v>
      </c>
      <c r="H369">
        <v>0</v>
      </c>
    </row>
    <row r="370" spans="1:8">
      <c r="A370">
        <v>5373</v>
      </c>
      <c r="B370" t="s">
        <v>2344</v>
      </c>
      <c r="C370">
        <v>5697</v>
      </c>
      <c r="D370" t="s">
        <v>2342</v>
      </c>
      <c r="E370" t="s">
        <v>2036</v>
      </c>
      <c r="F370">
        <v>202107</v>
      </c>
      <c r="G370" t="s">
        <v>2170</v>
      </c>
      <c r="H370">
        <v>391.39</v>
      </c>
    </row>
    <row r="371" spans="1:8">
      <c r="A371">
        <v>5373</v>
      </c>
      <c r="B371" t="s">
        <v>2344</v>
      </c>
      <c r="C371">
        <v>5697</v>
      </c>
      <c r="D371" t="s">
        <v>2342</v>
      </c>
      <c r="E371" t="s">
        <v>2036</v>
      </c>
      <c r="F371">
        <v>202107</v>
      </c>
      <c r="G371" t="s">
        <v>186</v>
      </c>
      <c r="H371">
        <v>0</v>
      </c>
    </row>
    <row r="372" spans="1:8">
      <c r="A372">
        <v>5373</v>
      </c>
      <c r="B372" t="s">
        <v>2344</v>
      </c>
      <c r="C372">
        <v>5697</v>
      </c>
      <c r="D372" t="s">
        <v>2342</v>
      </c>
      <c r="E372" t="s">
        <v>2036</v>
      </c>
      <c r="F372">
        <v>202107</v>
      </c>
      <c r="G372" t="s">
        <v>2169</v>
      </c>
      <c r="H372">
        <v>264.43</v>
      </c>
    </row>
    <row r="373" spans="1:8">
      <c r="A373">
        <v>5373</v>
      </c>
      <c r="B373" t="s">
        <v>2344</v>
      </c>
      <c r="C373">
        <v>5697</v>
      </c>
      <c r="D373" t="s">
        <v>2342</v>
      </c>
      <c r="E373" t="s">
        <v>2036</v>
      </c>
      <c r="F373">
        <v>202107</v>
      </c>
      <c r="G373" t="s">
        <v>2166</v>
      </c>
      <c r="H373">
        <v>12.33</v>
      </c>
    </row>
    <row r="374" spans="1:8">
      <c r="A374">
        <v>5373</v>
      </c>
      <c r="B374" t="s">
        <v>2344</v>
      </c>
      <c r="C374">
        <v>5697</v>
      </c>
      <c r="D374" t="s">
        <v>2342</v>
      </c>
      <c r="E374" t="s">
        <v>2036</v>
      </c>
      <c r="F374">
        <v>202107</v>
      </c>
      <c r="G374" t="s">
        <v>2167</v>
      </c>
      <c r="H374">
        <v>23.94</v>
      </c>
    </row>
    <row r="375" spans="1:8">
      <c r="A375">
        <v>5373</v>
      </c>
      <c r="B375" t="s">
        <v>2344</v>
      </c>
      <c r="C375">
        <v>5697</v>
      </c>
      <c r="D375" t="s">
        <v>2342</v>
      </c>
      <c r="E375" t="s">
        <v>2036</v>
      </c>
      <c r="F375">
        <v>202107</v>
      </c>
      <c r="G375" t="s">
        <v>2168</v>
      </c>
      <c r="H375">
        <v>10.17</v>
      </c>
    </row>
    <row r="376" spans="1:8">
      <c r="A376">
        <v>5373</v>
      </c>
      <c r="B376" t="s">
        <v>2344</v>
      </c>
      <c r="C376">
        <v>5697</v>
      </c>
      <c r="D376" t="s">
        <v>2342</v>
      </c>
      <c r="E376" t="s">
        <v>2036</v>
      </c>
      <c r="F376">
        <v>202107</v>
      </c>
      <c r="G376" t="s">
        <v>2171</v>
      </c>
      <c r="H376">
        <v>217439.98</v>
      </c>
    </row>
    <row r="377" spans="1:8">
      <c r="A377">
        <v>5373</v>
      </c>
      <c r="B377" t="s">
        <v>2344</v>
      </c>
      <c r="C377">
        <v>5697</v>
      </c>
      <c r="D377" t="s">
        <v>2342</v>
      </c>
      <c r="E377" t="s">
        <v>2036</v>
      </c>
      <c r="F377">
        <v>202107</v>
      </c>
      <c r="G377" t="s">
        <v>190</v>
      </c>
      <c r="H377">
        <v>725617</v>
      </c>
    </row>
    <row r="378" spans="1:8">
      <c r="A378">
        <v>5373</v>
      </c>
      <c r="B378" t="s">
        <v>2344</v>
      </c>
      <c r="C378">
        <v>5697</v>
      </c>
      <c r="D378" t="s">
        <v>2342</v>
      </c>
      <c r="E378" t="s">
        <v>2036</v>
      </c>
      <c r="F378">
        <v>202107</v>
      </c>
      <c r="G378" t="s">
        <v>191</v>
      </c>
      <c r="H378">
        <v>62161</v>
      </c>
    </row>
    <row r="379" spans="1:8">
      <c r="A379">
        <v>5373</v>
      </c>
      <c r="B379" t="s">
        <v>2344</v>
      </c>
      <c r="C379">
        <v>5697</v>
      </c>
      <c r="D379" t="s">
        <v>2342</v>
      </c>
      <c r="E379" t="s">
        <v>2036</v>
      </c>
      <c r="F379">
        <v>202107</v>
      </c>
      <c r="G379" t="s">
        <v>176</v>
      </c>
      <c r="H379">
        <v>0</v>
      </c>
    </row>
    <row r="380" spans="1:8">
      <c r="A380">
        <v>5373</v>
      </c>
      <c r="B380" t="s">
        <v>2344</v>
      </c>
      <c r="C380">
        <v>5697</v>
      </c>
      <c r="D380" t="s">
        <v>2342</v>
      </c>
      <c r="E380" t="s">
        <v>2036</v>
      </c>
      <c r="F380">
        <v>202107</v>
      </c>
      <c r="G380" t="s">
        <v>178</v>
      </c>
      <c r="H380">
        <v>2250</v>
      </c>
    </row>
    <row r="381" spans="1:8">
      <c r="A381">
        <v>5373</v>
      </c>
      <c r="B381" t="s">
        <v>2344</v>
      </c>
      <c r="C381">
        <v>5697</v>
      </c>
      <c r="D381" t="s">
        <v>2342</v>
      </c>
      <c r="E381" t="s">
        <v>2036</v>
      </c>
      <c r="F381">
        <v>202107</v>
      </c>
      <c r="G381" t="s">
        <v>180</v>
      </c>
      <c r="H381">
        <v>1389.36</v>
      </c>
    </row>
    <row r="382" spans="1:8">
      <c r="A382">
        <v>5373</v>
      </c>
      <c r="B382" t="s">
        <v>2344</v>
      </c>
      <c r="C382">
        <v>5697</v>
      </c>
      <c r="D382" t="s">
        <v>2342</v>
      </c>
      <c r="E382" t="s">
        <v>2036</v>
      </c>
      <c r="F382">
        <v>202107</v>
      </c>
      <c r="G382" t="s">
        <v>182</v>
      </c>
      <c r="H382">
        <v>758235</v>
      </c>
    </row>
    <row r="383" spans="1:8">
      <c r="A383">
        <v>5373</v>
      </c>
      <c r="B383" t="s">
        <v>2344</v>
      </c>
      <c r="C383">
        <v>5697</v>
      </c>
      <c r="D383" t="s">
        <v>2342</v>
      </c>
      <c r="E383" t="s">
        <v>2036</v>
      </c>
      <c r="F383">
        <v>202107</v>
      </c>
      <c r="G383" t="s">
        <v>184</v>
      </c>
      <c r="H383">
        <v>62161</v>
      </c>
    </row>
    <row r="384" spans="1:8">
      <c r="A384">
        <v>5373</v>
      </c>
      <c r="B384" t="s">
        <v>2344</v>
      </c>
      <c r="C384">
        <v>5697</v>
      </c>
      <c r="D384" t="s">
        <v>2342</v>
      </c>
      <c r="E384" t="s">
        <v>2036</v>
      </c>
      <c r="F384">
        <v>202107</v>
      </c>
      <c r="G384" t="s">
        <v>192</v>
      </c>
      <c r="H384">
        <v>0</v>
      </c>
    </row>
    <row r="385" spans="1:8">
      <c r="A385">
        <v>5373</v>
      </c>
      <c r="B385" t="s">
        <v>2344</v>
      </c>
      <c r="C385">
        <v>5697</v>
      </c>
      <c r="D385" t="s">
        <v>2342</v>
      </c>
      <c r="E385" t="s">
        <v>2036</v>
      </c>
      <c r="F385">
        <v>202107</v>
      </c>
      <c r="G385" t="s">
        <v>2170</v>
      </c>
      <c r="H385">
        <v>500.7</v>
      </c>
    </row>
    <row r="386" spans="1:8">
      <c r="A386">
        <v>5373</v>
      </c>
      <c r="B386" t="s">
        <v>2344</v>
      </c>
      <c r="C386">
        <v>5697</v>
      </c>
      <c r="D386" t="s">
        <v>2342</v>
      </c>
      <c r="E386" t="s">
        <v>2036</v>
      </c>
      <c r="F386">
        <v>202107</v>
      </c>
      <c r="G386" t="s">
        <v>186</v>
      </c>
      <c r="H386">
        <v>32618</v>
      </c>
    </row>
    <row r="387" spans="1:8">
      <c r="A387">
        <v>5373</v>
      </c>
      <c r="B387" t="s">
        <v>2344</v>
      </c>
      <c r="C387">
        <v>5697</v>
      </c>
      <c r="D387" t="s">
        <v>2342</v>
      </c>
      <c r="E387" t="s">
        <v>2036</v>
      </c>
      <c r="F387">
        <v>202107</v>
      </c>
      <c r="G387" t="s">
        <v>2169</v>
      </c>
      <c r="H387">
        <v>264.43</v>
      </c>
    </row>
    <row r="388" spans="1:8">
      <c r="A388">
        <v>5373</v>
      </c>
      <c r="B388" t="s">
        <v>2344</v>
      </c>
      <c r="C388">
        <v>5697</v>
      </c>
      <c r="D388" t="s">
        <v>2342</v>
      </c>
      <c r="E388" t="s">
        <v>2036</v>
      </c>
      <c r="F388">
        <v>202107</v>
      </c>
      <c r="G388" t="s">
        <v>2166</v>
      </c>
      <c r="H388">
        <v>12.33</v>
      </c>
    </row>
    <row r="389" spans="1:8">
      <c r="A389">
        <v>5373</v>
      </c>
      <c r="B389" t="s">
        <v>2344</v>
      </c>
      <c r="C389">
        <v>5697</v>
      </c>
      <c r="D389" t="s">
        <v>2342</v>
      </c>
      <c r="E389" t="s">
        <v>2036</v>
      </c>
      <c r="F389">
        <v>202107</v>
      </c>
      <c r="G389" t="s">
        <v>2167</v>
      </c>
      <c r="H389">
        <v>23.94</v>
      </c>
    </row>
    <row r="390" spans="1:8">
      <c r="A390">
        <v>5373</v>
      </c>
      <c r="B390" t="s">
        <v>2344</v>
      </c>
      <c r="C390">
        <v>5697</v>
      </c>
      <c r="D390" t="s">
        <v>2342</v>
      </c>
      <c r="E390" t="s">
        <v>2036</v>
      </c>
      <c r="F390">
        <v>202107</v>
      </c>
      <c r="G390" t="s">
        <v>2168</v>
      </c>
      <c r="H390">
        <v>10.17</v>
      </c>
    </row>
    <row r="391" spans="1:8">
      <c r="A391">
        <v>5373</v>
      </c>
      <c r="B391" t="s">
        <v>2344</v>
      </c>
      <c r="C391">
        <v>5697</v>
      </c>
      <c r="D391" t="s">
        <v>2342</v>
      </c>
      <c r="E391" t="s">
        <v>2036</v>
      </c>
      <c r="F391">
        <v>202107</v>
      </c>
      <c r="G391" t="s">
        <v>2171</v>
      </c>
      <c r="H391">
        <v>278160.01</v>
      </c>
    </row>
    <row r="392" spans="1:8">
      <c r="A392">
        <v>5373</v>
      </c>
      <c r="B392" t="s">
        <v>2344</v>
      </c>
      <c r="C392">
        <v>5697</v>
      </c>
      <c r="D392" t="s">
        <v>2342</v>
      </c>
      <c r="E392" t="s">
        <v>2036</v>
      </c>
      <c r="F392">
        <v>202108</v>
      </c>
      <c r="G392" t="s">
        <v>190</v>
      </c>
      <c r="H392">
        <v>448579</v>
      </c>
    </row>
    <row r="393" spans="1:8">
      <c r="A393">
        <v>5373</v>
      </c>
      <c r="B393" t="s">
        <v>2344</v>
      </c>
      <c r="C393">
        <v>5697</v>
      </c>
      <c r="D393" t="s">
        <v>2342</v>
      </c>
      <c r="E393" t="s">
        <v>2036</v>
      </c>
      <c r="F393">
        <v>202108</v>
      </c>
      <c r="G393" t="s">
        <v>191</v>
      </c>
      <c r="H393">
        <v>61764</v>
      </c>
    </row>
    <row r="394" spans="1:8">
      <c r="A394">
        <v>5373</v>
      </c>
      <c r="B394" t="s">
        <v>2344</v>
      </c>
      <c r="C394">
        <v>5697</v>
      </c>
      <c r="D394" t="s">
        <v>2342</v>
      </c>
      <c r="E394" t="s">
        <v>2036</v>
      </c>
      <c r="F394">
        <v>202108</v>
      </c>
      <c r="G394" t="s">
        <v>176</v>
      </c>
      <c r="H394">
        <v>0</v>
      </c>
    </row>
    <row r="395" spans="1:8">
      <c r="A395">
        <v>5373</v>
      </c>
      <c r="B395" t="s">
        <v>2344</v>
      </c>
      <c r="C395">
        <v>5697</v>
      </c>
      <c r="D395" t="s">
        <v>2342</v>
      </c>
      <c r="E395" t="s">
        <v>2036</v>
      </c>
      <c r="F395">
        <v>202108</v>
      </c>
      <c r="G395" t="s">
        <v>178</v>
      </c>
      <c r="H395">
        <v>1850</v>
      </c>
    </row>
    <row r="396" spans="1:8">
      <c r="A396">
        <v>5373</v>
      </c>
      <c r="B396" t="s">
        <v>2344</v>
      </c>
      <c r="C396">
        <v>5697</v>
      </c>
      <c r="D396" t="s">
        <v>2342</v>
      </c>
      <c r="E396" t="s">
        <v>2036</v>
      </c>
      <c r="F396">
        <v>202108</v>
      </c>
      <c r="G396" t="s">
        <v>180</v>
      </c>
      <c r="H396">
        <v>1650</v>
      </c>
    </row>
    <row r="397" spans="1:8">
      <c r="A397">
        <v>5373</v>
      </c>
      <c r="B397" t="s">
        <v>2344</v>
      </c>
      <c r="C397">
        <v>5697</v>
      </c>
      <c r="D397" t="s">
        <v>2342</v>
      </c>
      <c r="E397" t="s">
        <v>2036</v>
      </c>
      <c r="F397">
        <v>202108</v>
      </c>
      <c r="G397" t="s">
        <v>182</v>
      </c>
      <c r="H397">
        <v>448579</v>
      </c>
    </row>
    <row r="398" spans="1:8">
      <c r="A398">
        <v>5373</v>
      </c>
      <c r="B398" t="s">
        <v>2344</v>
      </c>
      <c r="C398">
        <v>5697</v>
      </c>
      <c r="D398" t="s">
        <v>2342</v>
      </c>
      <c r="E398" t="s">
        <v>2036</v>
      </c>
      <c r="F398">
        <v>202108</v>
      </c>
      <c r="G398" t="s">
        <v>184</v>
      </c>
      <c r="H398">
        <v>61764</v>
      </c>
    </row>
    <row r="399" spans="1:8">
      <c r="A399">
        <v>5373</v>
      </c>
      <c r="B399" t="s">
        <v>2344</v>
      </c>
      <c r="C399">
        <v>5697</v>
      </c>
      <c r="D399" t="s">
        <v>2342</v>
      </c>
      <c r="E399" t="s">
        <v>2036</v>
      </c>
      <c r="F399">
        <v>202108</v>
      </c>
      <c r="G399" t="s">
        <v>192</v>
      </c>
      <c r="H399">
        <v>0</v>
      </c>
    </row>
    <row r="400" spans="1:8">
      <c r="A400">
        <v>5373</v>
      </c>
      <c r="B400" t="s">
        <v>2344</v>
      </c>
      <c r="C400">
        <v>5697</v>
      </c>
      <c r="D400" t="s">
        <v>2342</v>
      </c>
      <c r="E400" t="s">
        <v>2036</v>
      </c>
      <c r="F400">
        <v>202108</v>
      </c>
      <c r="G400" t="s">
        <v>2170</v>
      </c>
      <c r="H400">
        <v>813.07</v>
      </c>
    </row>
    <row r="401" spans="1:8">
      <c r="A401">
        <v>5373</v>
      </c>
      <c r="B401" t="s">
        <v>2344</v>
      </c>
      <c r="C401">
        <v>5697</v>
      </c>
      <c r="D401" t="s">
        <v>2342</v>
      </c>
      <c r="E401" t="s">
        <v>2036</v>
      </c>
      <c r="F401">
        <v>202108</v>
      </c>
      <c r="G401" t="s">
        <v>186</v>
      </c>
      <c r="H401">
        <v>0</v>
      </c>
    </row>
    <row r="402" spans="1:8">
      <c r="A402">
        <v>5373</v>
      </c>
      <c r="B402" t="s">
        <v>2344</v>
      </c>
      <c r="C402">
        <v>5697</v>
      </c>
      <c r="D402" t="s">
        <v>2342</v>
      </c>
      <c r="E402" t="s">
        <v>2036</v>
      </c>
      <c r="F402">
        <v>202108</v>
      </c>
      <c r="G402" t="s">
        <v>2169</v>
      </c>
      <c r="H402">
        <v>264.43</v>
      </c>
    </row>
    <row r="403" spans="1:8">
      <c r="A403">
        <v>5373</v>
      </c>
      <c r="B403" t="s">
        <v>2344</v>
      </c>
      <c r="C403">
        <v>5697</v>
      </c>
      <c r="D403" t="s">
        <v>2342</v>
      </c>
      <c r="E403" t="s">
        <v>2036</v>
      </c>
      <c r="F403">
        <v>202108</v>
      </c>
      <c r="G403" t="s">
        <v>2166</v>
      </c>
      <c r="H403">
        <v>12.33</v>
      </c>
    </row>
    <row r="404" spans="1:8">
      <c r="A404">
        <v>5373</v>
      </c>
      <c r="B404" t="s">
        <v>2344</v>
      </c>
      <c r="C404">
        <v>5697</v>
      </c>
      <c r="D404" t="s">
        <v>2342</v>
      </c>
      <c r="E404" t="s">
        <v>2036</v>
      </c>
      <c r="F404">
        <v>202108</v>
      </c>
      <c r="G404" t="s">
        <v>2167</v>
      </c>
      <c r="H404">
        <v>23.94</v>
      </c>
    </row>
    <row r="405" spans="1:8">
      <c r="A405">
        <v>5373</v>
      </c>
      <c r="B405" t="s">
        <v>2344</v>
      </c>
      <c r="C405">
        <v>5697</v>
      </c>
      <c r="D405" t="s">
        <v>2342</v>
      </c>
      <c r="E405" t="s">
        <v>2036</v>
      </c>
      <c r="F405">
        <v>202108</v>
      </c>
      <c r="G405" t="s">
        <v>2168</v>
      </c>
      <c r="H405">
        <v>10.17</v>
      </c>
    </row>
    <row r="406" spans="1:8">
      <c r="A406">
        <v>5373</v>
      </c>
      <c r="B406" t="s">
        <v>2344</v>
      </c>
      <c r="C406">
        <v>5697</v>
      </c>
      <c r="D406" t="s">
        <v>2342</v>
      </c>
      <c r="E406" t="s">
        <v>2036</v>
      </c>
      <c r="F406">
        <v>202108</v>
      </c>
      <c r="G406" t="s">
        <v>2171</v>
      </c>
      <c r="H406">
        <v>203264.73</v>
      </c>
    </row>
    <row r="407" spans="1:8">
      <c r="A407">
        <v>5373</v>
      </c>
      <c r="B407" t="s">
        <v>2344</v>
      </c>
      <c r="C407">
        <v>5697</v>
      </c>
      <c r="D407" t="s">
        <v>2342</v>
      </c>
      <c r="E407" t="s">
        <v>2036</v>
      </c>
      <c r="F407">
        <v>202108</v>
      </c>
      <c r="G407" t="s">
        <v>190</v>
      </c>
      <c r="H407">
        <v>729579</v>
      </c>
    </row>
    <row r="408" spans="1:8">
      <c r="A408">
        <v>5373</v>
      </c>
      <c r="B408" t="s">
        <v>2344</v>
      </c>
      <c r="C408">
        <v>5697</v>
      </c>
      <c r="D408" t="s">
        <v>2342</v>
      </c>
      <c r="E408" t="s">
        <v>2036</v>
      </c>
      <c r="F408">
        <v>202108</v>
      </c>
      <c r="G408" t="s">
        <v>191</v>
      </c>
      <c r="H408">
        <v>63523</v>
      </c>
    </row>
    <row r="409" spans="1:8">
      <c r="A409">
        <v>5373</v>
      </c>
      <c r="B409" t="s">
        <v>2344</v>
      </c>
      <c r="C409">
        <v>5697</v>
      </c>
      <c r="D409" t="s">
        <v>2342</v>
      </c>
      <c r="E409" t="s">
        <v>2036</v>
      </c>
      <c r="F409">
        <v>202108</v>
      </c>
      <c r="G409" t="s">
        <v>176</v>
      </c>
      <c r="H409">
        <v>0</v>
      </c>
    </row>
    <row r="410" spans="1:8">
      <c r="A410">
        <v>5373</v>
      </c>
      <c r="B410" t="s">
        <v>2344</v>
      </c>
      <c r="C410">
        <v>5697</v>
      </c>
      <c r="D410" t="s">
        <v>2342</v>
      </c>
      <c r="E410" t="s">
        <v>2036</v>
      </c>
      <c r="F410">
        <v>202108</v>
      </c>
      <c r="G410" t="s">
        <v>178</v>
      </c>
      <c r="H410">
        <v>2250</v>
      </c>
    </row>
    <row r="411" spans="1:8">
      <c r="A411">
        <v>5373</v>
      </c>
      <c r="B411" t="s">
        <v>2344</v>
      </c>
      <c r="C411">
        <v>5697</v>
      </c>
      <c r="D411" t="s">
        <v>2342</v>
      </c>
      <c r="E411" t="s">
        <v>2036</v>
      </c>
      <c r="F411">
        <v>202108</v>
      </c>
      <c r="G411" t="s">
        <v>180</v>
      </c>
      <c r="H411">
        <v>1454.88</v>
      </c>
    </row>
    <row r="412" spans="1:8">
      <c r="A412">
        <v>5373</v>
      </c>
      <c r="B412" t="s">
        <v>2344</v>
      </c>
      <c r="C412">
        <v>5697</v>
      </c>
      <c r="D412" t="s">
        <v>2342</v>
      </c>
      <c r="E412" t="s">
        <v>2036</v>
      </c>
      <c r="F412">
        <v>202108</v>
      </c>
      <c r="G412" t="s">
        <v>182</v>
      </c>
      <c r="H412">
        <v>763526</v>
      </c>
    </row>
    <row r="413" spans="1:8">
      <c r="A413">
        <v>5373</v>
      </c>
      <c r="B413" t="s">
        <v>2344</v>
      </c>
      <c r="C413">
        <v>5697</v>
      </c>
      <c r="D413" t="s">
        <v>2342</v>
      </c>
      <c r="E413" t="s">
        <v>2036</v>
      </c>
      <c r="F413">
        <v>202108</v>
      </c>
      <c r="G413" t="s">
        <v>184</v>
      </c>
      <c r="H413">
        <v>63523</v>
      </c>
    </row>
    <row r="414" spans="1:8">
      <c r="A414">
        <v>5373</v>
      </c>
      <c r="B414" t="s">
        <v>2344</v>
      </c>
      <c r="C414">
        <v>5697</v>
      </c>
      <c r="D414" t="s">
        <v>2342</v>
      </c>
      <c r="E414" t="s">
        <v>2036</v>
      </c>
      <c r="F414">
        <v>202108</v>
      </c>
      <c r="G414" t="s">
        <v>192</v>
      </c>
      <c r="H414">
        <v>0</v>
      </c>
    </row>
    <row r="415" spans="1:8">
      <c r="A415">
        <v>5373</v>
      </c>
      <c r="B415" t="s">
        <v>2344</v>
      </c>
      <c r="C415">
        <v>5697</v>
      </c>
      <c r="D415" t="s">
        <v>2342</v>
      </c>
      <c r="E415" t="s">
        <v>2036</v>
      </c>
      <c r="F415">
        <v>202108</v>
      </c>
      <c r="G415" t="s">
        <v>2170</v>
      </c>
      <c r="H415">
        <v>1127.33</v>
      </c>
    </row>
    <row r="416" spans="1:8">
      <c r="A416">
        <v>5373</v>
      </c>
      <c r="B416" t="s">
        <v>2344</v>
      </c>
      <c r="C416">
        <v>5697</v>
      </c>
      <c r="D416" t="s">
        <v>2342</v>
      </c>
      <c r="E416" t="s">
        <v>2036</v>
      </c>
      <c r="F416">
        <v>202108</v>
      </c>
      <c r="G416" t="s">
        <v>186</v>
      </c>
      <c r="H416">
        <v>33947</v>
      </c>
    </row>
    <row r="417" spans="1:8">
      <c r="A417">
        <v>5373</v>
      </c>
      <c r="B417" t="s">
        <v>2344</v>
      </c>
      <c r="C417">
        <v>5697</v>
      </c>
      <c r="D417" t="s">
        <v>2342</v>
      </c>
      <c r="E417" t="s">
        <v>2036</v>
      </c>
      <c r="F417">
        <v>202108</v>
      </c>
      <c r="G417" t="s">
        <v>2169</v>
      </c>
      <c r="H417">
        <v>264.43</v>
      </c>
    </row>
    <row r="418" spans="1:8">
      <c r="A418">
        <v>5373</v>
      </c>
      <c r="B418" t="s">
        <v>2344</v>
      </c>
      <c r="C418">
        <v>5697</v>
      </c>
      <c r="D418" t="s">
        <v>2342</v>
      </c>
      <c r="E418" t="s">
        <v>2036</v>
      </c>
      <c r="F418">
        <v>202108</v>
      </c>
      <c r="G418" t="s">
        <v>2166</v>
      </c>
      <c r="H418">
        <v>12.33</v>
      </c>
    </row>
    <row r="419" spans="1:8">
      <c r="A419">
        <v>5373</v>
      </c>
      <c r="B419" t="s">
        <v>2344</v>
      </c>
      <c r="C419">
        <v>5697</v>
      </c>
      <c r="D419" t="s">
        <v>2342</v>
      </c>
      <c r="E419" t="s">
        <v>2036</v>
      </c>
      <c r="F419">
        <v>202108</v>
      </c>
      <c r="G419" t="s">
        <v>2167</v>
      </c>
      <c r="H419">
        <v>23.94</v>
      </c>
    </row>
    <row r="420" spans="1:8">
      <c r="A420">
        <v>5373</v>
      </c>
      <c r="B420" t="s">
        <v>2344</v>
      </c>
      <c r="C420">
        <v>5697</v>
      </c>
      <c r="D420" t="s">
        <v>2342</v>
      </c>
      <c r="E420" t="s">
        <v>2036</v>
      </c>
      <c r="F420">
        <v>202108</v>
      </c>
      <c r="G420" t="s">
        <v>2168</v>
      </c>
      <c r="H420">
        <v>10.17</v>
      </c>
    </row>
    <row r="421" spans="1:8">
      <c r="A421">
        <v>5373</v>
      </c>
      <c r="B421" t="s">
        <v>2344</v>
      </c>
      <c r="C421">
        <v>5697</v>
      </c>
      <c r="D421" t="s">
        <v>2342</v>
      </c>
      <c r="E421" t="s">
        <v>2036</v>
      </c>
      <c r="F421">
        <v>202108</v>
      </c>
      <c r="G421" t="s">
        <v>2171</v>
      </c>
      <c r="H421">
        <v>281830.67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2022</v>
      </c>
    </row>
    <row r="3" spans="1:50">
      <c r="A3" s="63" t="s">
        <v>195</v>
      </c>
      <c r="AI3" t="s">
        <v>2023</v>
      </c>
    </row>
    <row r="4" spans="1:50">
      <c r="A4" s="63" t="s">
        <v>196</v>
      </c>
    </row>
    <row r="7" spans="1:50">
      <c r="A7" s="626" t="s">
        <v>197</v>
      </c>
      <c r="M7" t="s">
        <v>2021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23" t="s">
        <v>2285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2284</v>
      </c>
      <c r="X9" s="774" t="s">
        <v>198</v>
      </c>
      <c r="Y9" s="775" t="s">
        <v>219</v>
      </c>
      <c r="AB9" t="s">
        <v>198</v>
      </c>
      <c r="AC9" t="s">
        <v>2286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24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0">
        <v>0</v>
      </c>
      <c r="Q10" s="613"/>
      <c r="R10" s="710">
        <v>42613</v>
      </c>
      <c r="S10" s="710" t="s">
        <v>229</v>
      </c>
      <c r="T10" s="710"/>
      <c r="U10" s="233"/>
      <c r="V10" s="17"/>
      <c r="X10" s="778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24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0">
        <v>0</v>
      </c>
      <c r="Q11" s="613"/>
      <c r="R11" s="710">
        <v>42613</v>
      </c>
      <c r="S11" s="710" t="s">
        <v>229</v>
      </c>
      <c r="T11" s="710"/>
      <c r="U11" s="233"/>
      <c r="V11" s="17"/>
      <c r="X11" s="778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24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0">
        <v>0</v>
      </c>
      <c r="Q12" s="613"/>
      <c r="R12" s="710">
        <v>42673</v>
      </c>
      <c r="S12" s="710" t="s">
        <v>229</v>
      </c>
      <c r="T12" s="710"/>
      <c r="U12" s="233"/>
      <c r="V12" s="17"/>
      <c r="X12" s="778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24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0">
        <v>0</v>
      </c>
      <c r="Q13" s="613"/>
      <c r="R13" s="710">
        <v>42410</v>
      </c>
      <c r="S13" s="710" t="s">
        <v>229</v>
      </c>
      <c r="T13" s="710"/>
      <c r="U13" s="233"/>
      <c r="V13" s="17"/>
      <c r="X13" s="778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24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0">
        <v>0</v>
      </c>
      <c r="Q14" s="613"/>
      <c r="R14" s="710">
        <v>42562</v>
      </c>
      <c r="S14" s="710" t="s">
        <v>229</v>
      </c>
      <c r="T14" s="710"/>
      <c r="U14" s="233"/>
      <c r="V14" s="17"/>
      <c r="X14" s="778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24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0">
        <v>0</v>
      </c>
      <c r="Q15" s="613"/>
      <c r="R15" s="710">
        <v>42673</v>
      </c>
      <c r="S15" s="710" t="s">
        <v>229</v>
      </c>
      <c r="T15" s="710"/>
      <c r="U15" s="233"/>
      <c r="V15" s="17"/>
      <c r="X15" s="778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24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0">
        <v>0</v>
      </c>
      <c r="Q16" s="613"/>
      <c r="R16" s="710">
        <v>42507</v>
      </c>
      <c r="S16" s="710" t="s">
        <v>229</v>
      </c>
      <c r="T16" s="710"/>
      <c r="U16" s="233"/>
      <c r="V16" s="17"/>
      <c r="X16" s="778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24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0">
        <v>0</v>
      </c>
      <c r="Q17" s="613"/>
      <c r="R17" s="710">
        <v>42475</v>
      </c>
      <c r="S17" s="710" t="s">
        <v>229</v>
      </c>
      <c r="T17" s="710"/>
      <c r="U17" s="233"/>
      <c r="V17" s="17"/>
      <c r="X17" s="778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24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0">
        <v>0</v>
      </c>
      <c r="Q18" s="613"/>
      <c r="R18" s="710">
        <v>42475</v>
      </c>
      <c r="S18" s="710" t="s">
        <v>229</v>
      </c>
      <c r="T18" s="710"/>
      <c r="U18" s="233"/>
      <c r="V18" s="17"/>
      <c r="X18" s="778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24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0">
        <v>0</v>
      </c>
      <c r="Q19" s="613"/>
      <c r="R19" s="710">
        <v>42673</v>
      </c>
      <c r="S19" s="710" t="s">
        <v>229</v>
      </c>
      <c r="T19" s="710"/>
      <c r="U19" s="233"/>
      <c r="V19" s="17"/>
      <c r="X19" s="778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24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0">
        <v>0</v>
      </c>
      <c r="Q20" s="613"/>
      <c r="R20" s="710">
        <v>42641</v>
      </c>
      <c r="S20" s="710" t="s">
        <v>229</v>
      </c>
      <c r="T20" s="710"/>
      <c r="U20" s="233"/>
      <c r="V20" s="17"/>
      <c r="X20" s="778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24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0">
        <v>0</v>
      </c>
      <c r="Q21" s="613"/>
      <c r="R21" s="710">
        <v>42641</v>
      </c>
      <c r="S21" s="710" t="s">
        <v>229</v>
      </c>
      <c r="T21" s="710"/>
      <c r="U21" s="233"/>
      <c r="V21" s="17"/>
      <c r="X21" s="778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24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0">
        <v>0</v>
      </c>
      <c r="Q22" s="613"/>
      <c r="R22" s="710">
        <v>42641</v>
      </c>
      <c r="S22" s="710" t="s">
        <v>229</v>
      </c>
      <c r="T22" s="710"/>
      <c r="U22" s="233"/>
      <c r="V22" s="17"/>
      <c r="X22" s="778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24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0">
        <v>0</v>
      </c>
      <c r="Q23" s="613"/>
      <c r="R23" s="710">
        <v>42641</v>
      </c>
      <c r="S23" s="710" t="s">
        <v>229</v>
      </c>
      <c r="T23" s="710"/>
      <c r="U23" s="233"/>
      <c r="V23" s="17"/>
      <c r="X23" s="778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24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0">
        <v>0</v>
      </c>
      <c r="Q24" s="613"/>
      <c r="R24" s="710">
        <v>42641</v>
      </c>
      <c r="S24" s="710" t="s">
        <v>229</v>
      </c>
      <c r="T24" s="710"/>
      <c r="U24" s="233"/>
      <c r="V24" s="17"/>
      <c r="X24" s="778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24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0">
        <v>0</v>
      </c>
      <c r="Q25" s="613"/>
      <c r="R25" s="710">
        <v>42641</v>
      </c>
      <c r="S25" s="710" t="s">
        <v>229</v>
      </c>
      <c r="T25" s="710"/>
      <c r="U25" s="233"/>
      <c r="V25" s="17"/>
      <c r="X25" s="778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24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0">
        <v>0</v>
      </c>
      <c r="Q26" s="613"/>
      <c r="R26" s="710">
        <v>42641</v>
      </c>
      <c r="S26" s="710" t="s">
        <v>229</v>
      </c>
      <c r="T26" s="710"/>
      <c r="U26" s="233"/>
      <c r="V26" s="17"/>
      <c r="X26" s="778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24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0">
        <v>0</v>
      </c>
      <c r="Q27" s="613"/>
      <c r="R27" s="710">
        <v>42641</v>
      </c>
      <c r="S27" s="710" t="s">
        <v>229</v>
      </c>
      <c r="T27" s="710"/>
      <c r="U27" s="233"/>
      <c r="V27" s="17"/>
      <c r="X27" s="778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24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0">
        <v>0</v>
      </c>
      <c r="Q28" s="613"/>
      <c r="R28" s="710">
        <v>42641</v>
      </c>
      <c r="S28" s="710" t="s">
        <v>229</v>
      </c>
      <c r="T28" s="710"/>
      <c r="U28" s="233"/>
      <c r="V28" s="17"/>
      <c r="X28" s="778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24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0">
        <v>0</v>
      </c>
      <c r="Q29" s="613"/>
      <c r="R29" s="710">
        <v>42641</v>
      </c>
      <c r="S29" s="710" t="s">
        <v>229</v>
      </c>
      <c r="T29" s="710"/>
      <c r="U29" s="233"/>
      <c r="V29" s="17"/>
      <c r="X29" s="778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24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0">
        <v>0</v>
      </c>
      <c r="Q30" s="613"/>
      <c r="R30" s="710">
        <v>42641</v>
      </c>
      <c r="S30" s="710" t="s">
        <v>229</v>
      </c>
      <c r="T30" s="710"/>
      <c r="U30" s="233"/>
      <c r="V30" s="17"/>
      <c r="X30" s="778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24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0">
        <v>0</v>
      </c>
      <c r="Q31" s="613"/>
      <c r="R31" s="710">
        <v>42641</v>
      </c>
      <c r="S31" s="710" t="s">
        <v>229</v>
      </c>
      <c r="T31" s="710"/>
      <c r="U31" s="233"/>
      <c r="V31" s="17"/>
      <c r="X31" s="778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24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0">
        <v>0</v>
      </c>
      <c r="Q32" s="613"/>
      <c r="R32" s="710">
        <v>42641</v>
      </c>
      <c r="S32" s="710" t="s">
        <v>229</v>
      </c>
      <c r="T32" s="710"/>
      <c r="U32" s="233"/>
      <c r="V32" s="17"/>
      <c r="X32" s="778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24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0">
        <v>0</v>
      </c>
      <c r="Q33" s="613"/>
      <c r="R33" s="710">
        <v>42641</v>
      </c>
      <c r="S33" s="710" t="s">
        <v>229</v>
      </c>
      <c r="T33" s="710"/>
      <c r="U33" s="233"/>
      <c r="V33" s="17"/>
      <c r="X33" s="778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24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0">
        <v>0</v>
      </c>
      <c r="Q34" s="613"/>
      <c r="R34" s="710">
        <v>42641</v>
      </c>
      <c r="S34" s="710" t="s">
        <v>229</v>
      </c>
      <c r="T34" s="710"/>
      <c r="U34" s="233"/>
      <c r="V34" s="17"/>
      <c r="X34" s="778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24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0">
        <v>0</v>
      </c>
      <c r="Q35" s="613"/>
      <c r="R35" s="710">
        <v>42641</v>
      </c>
      <c r="S35" s="710" t="s">
        <v>229</v>
      </c>
      <c r="T35" s="710"/>
      <c r="U35" s="233"/>
      <c r="V35" s="17"/>
      <c r="X35" s="778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24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0">
        <v>0</v>
      </c>
      <c r="Q36" s="613"/>
      <c r="R36" s="710">
        <v>42641</v>
      </c>
      <c r="S36" s="710" t="s">
        <v>229</v>
      </c>
      <c r="T36" s="710"/>
      <c r="U36" s="233"/>
      <c r="V36" s="17"/>
      <c r="X36" s="778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24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0">
        <v>0</v>
      </c>
      <c r="Q37" s="613"/>
      <c r="R37" s="710">
        <v>42551</v>
      </c>
      <c r="S37" s="710" t="s">
        <v>229</v>
      </c>
      <c r="T37" s="710"/>
      <c r="U37" s="233"/>
      <c r="V37" s="17"/>
      <c r="X37" s="778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24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0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78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24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0">
        <v>0</v>
      </c>
      <c r="Q39" s="613"/>
      <c r="R39" s="710">
        <v>42486</v>
      </c>
      <c r="S39" s="710" t="s">
        <v>229</v>
      </c>
      <c r="T39" s="710"/>
      <c r="U39" s="233"/>
      <c r="V39" s="17"/>
      <c r="X39" s="778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24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0">
        <v>0</v>
      </c>
      <c r="Q40" s="613"/>
      <c r="R40" s="710">
        <v>42547</v>
      </c>
      <c r="S40" s="710" t="s">
        <v>229</v>
      </c>
      <c r="T40" s="710"/>
      <c r="U40" s="233"/>
      <c r="V40" s="17"/>
      <c r="X40" s="778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24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0">
        <v>0</v>
      </c>
      <c r="Q41" s="613"/>
      <c r="R41" s="710">
        <v>42551</v>
      </c>
      <c r="S41" s="710" t="s">
        <v>229</v>
      </c>
      <c r="T41" s="710"/>
      <c r="U41" s="233"/>
      <c r="V41" s="17"/>
      <c r="X41" s="778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24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0">
        <v>0</v>
      </c>
      <c r="Q42" s="613"/>
      <c r="R42" s="710">
        <v>42551</v>
      </c>
      <c r="S42" s="710" t="s">
        <v>229</v>
      </c>
      <c r="T42" s="710"/>
      <c r="U42" s="233"/>
      <c r="V42" s="17"/>
      <c r="X42" s="778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24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0">
        <v>0</v>
      </c>
      <c r="Q43" s="613"/>
      <c r="R43" s="710">
        <v>42551</v>
      </c>
      <c r="S43" s="710" t="s">
        <v>229</v>
      </c>
      <c r="T43" s="710"/>
      <c r="U43" s="233"/>
      <c r="V43" s="17"/>
      <c r="X43" s="778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24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0">
        <v>0</v>
      </c>
      <c r="Q44" s="613"/>
      <c r="R44" s="710">
        <v>42551</v>
      </c>
      <c r="S44" s="710" t="s">
        <v>229</v>
      </c>
      <c r="T44" s="710"/>
      <c r="U44" s="233"/>
      <c r="V44" s="17"/>
      <c r="X44" s="778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24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0">
        <v>0</v>
      </c>
      <c r="Q45" s="613"/>
      <c r="R45" s="710">
        <v>42551</v>
      </c>
      <c r="S45" s="710" t="s">
        <v>229</v>
      </c>
      <c r="T45" s="710"/>
      <c r="U45" s="233"/>
      <c r="V45" s="17"/>
      <c r="X45" s="778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24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0">
        <v>0</v>
      </c>
      <c r="Q46" s="613"/>
      <c r="R46" s="710">
        <v>42451</v>
      </c>
      <c r="S46" s="710" t="s">
        <v>229</v>
      </c>
      <c r="T46" s="710"/>
      <c r="U46" s="233"/>
      <c r="V46" s="17"/>
      <c r="X46" s="778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24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0">
        <v>0</v>
      </c>
      <c r="Q47" s="613"/>
      <c r="R47" s="710">
        <v>42489</v>
      </c>
      <c r="S47" s="710" t="s">
        <v>229</v>
      </c>
      <c r="T47" s="710"/>
      <c r="U47" s="233"/>
      <c r="V47" s="17"/>
      <c r="X47" s="778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1" t="s">
        <v>442</v>
      </c>
      <c r="H48" s="710" t="s">
        <v>443</v>
      </c>
      <c r="I48" s="1724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78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1" t="s">
        <v>450</v>
      </c>
      <c r="H49" s="710" t="s">
        <v>451</v>
      </c>
      <c r="I49" s="1724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78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1" t="s">
        <v>455</v>
      </c>
      <c r="H50" s="710" t="s">
        <v>456</v>
      </c>
      <c r="I50" s="1724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78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1" t="s">
        <v>461</v>
      </c>
      <c r="H51" s="710" t="s">
        <v>462</v>
      </c>
      <c r="I51" s="1724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78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1" t="s">
        <v>467</v>
      </c>
      <c r="H52" s="710" t="s">
        <v>468</v>
      </c>
      <c r="I52" s="1724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78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1" t="s">
        <v>474</v>
      </c>
      <c r="H53" s="710" t="s">
        <v>475</v>
      </c>
      <c r="I53" s="1724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78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1" t="s">
        <v>480</v>
      </c>
      <c r="H54" s="710" t="s">
        <v>481</v>
      </c>
      <c r="I54" s="1724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78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1" t="s">
        <v>485</v>
      </c>
      <c r="H55" s="710" t="s">
        <v>486</v>
      </c>
      <c r="I55" s="1724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78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1" t="s">
        <v>490</v>
      </c>
      <c r="H56" s="710" t="s">
        <v>491</v>
      </c>
      <c r="I56" s="1724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1" t="s">
        <v>496</v>
      </c>
      <c r="H57" s="710" t="s">
        <v>497</v>
      </c>
      <c r="I57" s="1724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3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24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78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24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78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24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78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0" t="s">
        <v>518</v>
      </c>
      <c r="I61" s="1724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0"/>
      <c r="R61" s="820"/>
      <c r="S61" s="710" t="s">
        <v>519</v>
      </c>
      <c r="T61" s="820">
        <v>44105</v>
      </c>
      <c r="X61" s="613" t="s">
        <v>414</v>
      </c>
      <c r="Y61" s="815"/>
      <c r="AB61" t="s">
        <v>258</v>
      </c>
      <c r="AC61" s="8">
        <v>44772</v>
      </c>
      <c r="AD61" s="815"/>
      <c r="AS61"/>
      <c r="AX61"/>
    </row>
    <row r="62" spans="1:50">
      <c r="AD62" s="748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2026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1">
        <v>0</v>
      </c>
      <c r="M69" s="821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1">
        <v>0</v>
      </c>
      <c r="M70" s="821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1">
        <v>0</v>
      </c>
      <c r="M71" s="821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1">
        <v>0</v>
      </c>
      <c r="M72" s="821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1">
        <v>0</v>
      </c>
      <c r="M73" s="821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1">
        <v>0</v>
      </c>
      <c r="M74" s="1441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1">
        <v>0.29099999999999998</v>
      </c>
      <c r="M75" s="1442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1">
        <v>0.56379999999999997</v>
      </c>
      <c r="M76" s="1442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1">
        <v>0</v>
      </c>
      <c r="M77" s="821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1">
        <v>0.2326</v>
      </c>
      <c r="M78" s="1442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1">
        <v>0.2326</v>
      </c>
      <c r="M79" s="1442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1">
        <v>9.9400000000000002E-2</v>
      </c>
      <c r="M80" s="1442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1">
        <v>9.9400000000000002E-2</v>
      </c>
      <c r="M81" s="1442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1">
        <v>0</v>
      </c>
      <c r="M82" s="821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1">
        <v>0.63749999999999996</v>
      </c>
      <c r="M83" s="1442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1">
        <f>DescontosTE[[#This Row],[2019]]</f>
        <v>0.43730000000000002</v>
      </c>
      <c r="M84" s="1443">
        <f>DescontosTE[[#This Row],[2020]]</f>
        <v>0.43730000000000002</v>
      </c>
      <c r="N84" s="1443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1">
        <v>0.25619999999999998</v>
      </c>
      <c r="M85" s="1442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1">
        <v>0.37969999999999998</v>
      </c>
      <c r="M86" s="1442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1">
        <v>0.55110000000000003</v>
      </c>
      <c r="M87" s="1442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1">
        <v>0.2132</v>
      </c>
      <c r="M88" s="1442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1">
        <v>0.2132</v>
      </c>
      <c r="M89" s="1442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1">
        <v>0.2132</v>
      </c>
      <c r="M90" s="1442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3">
        <v>5.0599999999999999E-2</v>
      </c>
      <c r="L91" s="821">
        <v>0</v>
      </c>
      <c r="M91" s="821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7">
        <v>1.2E-2</v>
      </c>
      <c r="L92" s="821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7">
        <v>1.2E-2</v>
      </c>
      <c r="L93" s="821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7">
        <v>1.2E-2</v>
      </c>
      <c r="L94" s="821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7">
        <v>1.2E-2</v>
      </c>
      <c r="L95" s="821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7">
        <v>1.2E-2</v>
      </c>
      <c r="L96" s="821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1">
        <v>0.58150000000000002</v>
      </c>
      <c r="M97" s="1442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1">
        <v>0</v>
      </c>
      <c r="M98" s="821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1">
        <v>0</v>
      </c>
      <c r="M99" s="821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1">
        <v>0</v>
      </c>
      <c r="M100" s="821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1">
        <v>0</v>
      </c>
      <c r="M101" s="821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1">
        <v>0.55579999999999996</v>
      </c>
      <c r="M102" s="1442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1">
        <v>0.55579999999999996</v>
      </c>
      <c r="M103" s="1442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1">
        <v>0</v>
      </c>
      <c r="M104" s="821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1">
        <v>0.44540000000000002</v>
      </c>
      <c r="M105" s="1442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1">
        <v>0</v>
      </c>
      <c r="M106" s="821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1">
        <v>7.5600000000000001E-2</v>
      </c>
      <c r="M107" s="1442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1">
        <v>7.5600000000000001E-2</v>
      </c>
      <c r="M108" s="1442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1">
        <v>0.48139999999999999</v>
      </c>
      <c r="M109" s="1442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1">
        <v>0.55869999999999997</v>
      </c>
      <c r="M110" s="1442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1">
        <v>0</v>
      </c>
      <c r="M111" s="821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1">
        <v>0</v>
      </c>
      <c r="M112" s="821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1">
        <v>0</v>
      </c>
      <c r="M113" s="821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1">
        <v>0.35730000000000001</v>
      </c>
      <c r="M114" s="1442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1">
        <v>0.35730000000000001</v>
      </c>
      <c r="M115" s="1442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1">
        <v>0.81359999999999999</v>
      </c>
      <c r="M116" s="1442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1">
        <v>0</v>
      </c>
      <c r="M117" s="821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1">
        <v>0</v>
      </c>
      <c r="M118" s="821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1">
        <v>0.59</v>
      </c>
      <c r="M119" s="1442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1">
        <v>0.42730000000000001</v>
      </c>
      <c r="M120" s="1442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1">
        <v>0.42730000000000001</v>
      </c>
      <c r="M121" s="1442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1">
        <v>0.42730000000000001</v>
      </c>
      <c r="M122" s="1442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1">
        <v>0</v>
      </c>
      <c r="M123" s="821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1">
        <v>0</v>
      </c>
      <c r="M124" s="821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1">
        <v>3.3399999999999999E-2</v>
      </c>
      <c r="M125" s="1442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1">
        <v>0</v>
      </c>
      <c r="M126" s="821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1">
        <v>0</v>
      </c>
      <c r="M127" s="821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1">
        <v>0</v>
      </c>
      <c r="M128" s="821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1">
        <v>0</v>
      </c>
      <c r="M129" s="821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1">
        <v>0.28499999999999998</v>
      </c>
      <c r="M130" s="1442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1">
        <v>0.214</v>
      </c>
      <c r="M131" s="1442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1">
        <v>2.07E-2</v>
      </c>
      <c r="M132" s="1442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7">
        <v>0.38529999999999998</v>
      </c>
      <c r="L133" s="821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7">
        <v>0.38030000000000003</v>
      </c>
      <c r="L134" s="821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7">
        <v>0.1401</v>
      </c>
      <c r="L135" s="821">
        <v>0.1401</v>
      </c>
      <c r="M135" s="1442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7">
        <v>0.22370000000000001</v>
      </c>
      <c r="L136" s="821">
        <v>0.1273</v>
      </c>
      <c r="M136" s="1442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7">
        <v>0.42030000000000001</v>
      </c>
      <c r="L137" s="821">
        <v>0.33839999999999998</v>
      </c>
      <c r="M137" s="1442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7">
        <v>0.4153</v>
      </c>
      <c r="L138" s="821">
        <v>0.33839999999999998</v>
      </c>
      <c r="M138" s="1442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7">
        <v>4.3299999999999998E-2</v>
      </c>
      <c r="L139" s="821">
        <v>0</v>
      </c>
      <c r="M139" s="821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7">
        <v>4.3299999999999998E-2</v>
      </c>
      <c r="L140" s="821">
        <v>0</v>
      </c>
      <c r="M140" s="821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7">
        <v>0.3735</v>
      </c>
      <c r="L141" s="821">
        <v>0.29289999999999999</v>
      </c>
      <c r="M141" s="1442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7">
        <v>0.34079999999999999</v>
      </c>
      <c r="L142" s="821">
        <v>0.25679999999999997</v>
      </c>
      <c r="M142" s="1442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7">
        <v>0.28170000000000001</v>
      </c>
      <c r="L143" s="821">
        <v>0.25019999999999998</v>
      </c>
      <c r="M143" s="1442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7">
        <v>0.16650000000000001</v>
      </c>
      <c r="L144" s="821">
        <v>0.1057</v>
      </c>
      <c r="M144" s="1442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7">
        <v>0.33779999999999999</v>
      </c>
      <c r="L145" s="821">
        <v>0.20419999999999999</v>
      </c>
      <c r="M145" s="1442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7">
        <v>0.48630000000000001</v>
      </c>
      <c r="L146" s="821">
        <v>0.37609999999999999</v>
      </c>
      <c r="M146" s="1442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7">
        <v>0.18690000000000001</v>
      </c>
      <c r="L147" s="821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7">
        <v>0.18690000000000001</v>
      </c>
      <c r="L148" s="821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2"/>
      <c r="H149" s="822"/>
      <c r="I149" s="822"/>
      <c r="J149" s="500"/>
      <c r="K149" s="777"/>
      <c r="L149" s="821">
        <v>0.1426</v>
      </c>
      <c r="M149" s="1442">
        <v>0.1426</v>
      </c>
      <c r="AS149" s="815"/>
      <c r="AX149" s="815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2">
        <v>0.1426</v>
      </c>
      <c r="AS150" s="815"/>
      <c r="AX150" s="815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2026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6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6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6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6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6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6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6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6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6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6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6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6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6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6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6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6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6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6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6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6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6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6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6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6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6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6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6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6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6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6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6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6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6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6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6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6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6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6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6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6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6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6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6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6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6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6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6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6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6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6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2" t="s">
        <v>265</v>
      </c>
      <c r="C207" s="232"/>
      <c r="D207" s="232"/>
      <c r="E207" s="232"/>
      <c r="F207" s="232"/>
      <c r="G207" s="232"/>
      <c r="H207" s="232"/>
      <c r="K207" s="776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2" t="s">
        <v>258</v>
      </c>
      <c r="C208" s="232"/>
      <c r="D208" s="232"/>
      <c r="E208" s="232"/>
      <c r="F208" s="232"/>
      <c r="G208" s="232"/>
      <c r="H208" s="232"/>
      <c r="K208" s="776"/>
      <c r="L208">
        <f>357.76+231.81</f>
        <v>589.56999999999994</v>
      </c>
      <c r="M208" s="408">
        <v>677.96999999999991</v>
      </c>
      <c r="O208" s="810" t="s">
        <v>552</v>
      </c>
      <c r="P208" s="811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6">
        <f>397.32+270.9</f>
        <v>668.22</v>
      </c>
      <c r="L209">
        <v>683.67</v>
      </c>
      <c r="M209" s="507">
        <v>714.43999999999994</v>
      </c>
      <c r="N209">
        <v>838.02</v>
      </c>
      <c r="O209" s="810" t="s">
        <v>553</v>
      </c>
      <c r="P209" s="811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6">
        <v>469.78</v>
      </c>
      <c r="L210">
        <v>505.99000000000007</v>
      </c>
      <c r="M210" s="408">
        <v>532.24</v>
      </c>
      <c r="O210" s="810" t="s">
        <v>554</v>
      </c>
      <c r="P210" s="811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0" t="s">
        <v>555</v>
      </c>
      <c r="P211" s="811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6">
        <v>517.61</v>
      </c>
      <c r="L212">
        <v>512.77</v>
      </c>
      <c r="M212" s="408">
        <v>558.81000000000006</v>
      </c>
      <c r="O212" s="810" t="s">
        <v>556</v>
      </c>
      <c r="P212" s="811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6">
        <v>523.02</v>
      </c>
      <c r="L213">
        <v>550.20000000000005</v>
      </c>
      <c r="M213">
        <v>595.66</v>
      </c>
      <c r="N213">
        <v>678.65</v>
      </c>
      <c r="O213" s="810" t="s">
        <v>557</v>
      </c>
      <c r="P213" s="811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6">
        <v>490.18</v>
      </c>
      <c r="L214">
        <v>533.54999999999995</v>
      </c>
      <c r="M214" s="408">
        <v>619.94000000000005</v>
      </c>
      <c r="O214" s="810" t="s">
        <v>558</v>
      </c>
      <c r="P214" s="811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6">
        <f>303.99+243.7</f>
        <v>547.69000000000005</v>
      </c>
      <c r="L215">
        <v>541.15</v>
      </c>
      <c r="M215" s="816">
        <v>564.97</v>
      </c>
      <c r="N215">
        <v>606.77</v>
      </c>
      <c r="O215" s="810" t="s">
        <v>559</v>
      </c>
      <c r="P215" s="811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6">
        <v>525.73</v>
      </c>
      <c r="L216" s="631">
        <v>546.10945347732809</v>
      </c>
      <c r="M216" s="408">
        <v>635.92000000000007</v>
      </c>
      <c r="N216" s="808"/>
      <c r="O216" s="810" t="s">
        <v>560</v>
      </c>
      <c r="P216" s="811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6">
        <v>531.87</v>
      </c>
      <c r="L217" s="631">
        <v>555.04999999999995</v>
      </c>
      <c r="M217" s="408">
        <v>622.58000000000004</v>
      </c>
      <c r="O217" s="810" t="s">
        <v>561</v>
      </c>
      <c r="P217" s="811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6">
        <v>515.59</v>
      </c>
      <c r="L218" s="631">
        <v>534.19000000000005</v>
      </c>
      <c r="M218" s="408">
        <v>594.49</v>
      </c>
      <c r="O218" s="810" t="s">
        <v>562</v>
      </c>
      <c r="P218" s="811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6">
        <v>530.72</v>
      </c>
      <c r="L219" s="631">
        <v>535.51</v>
      </c>
      <c r="M219" s="232">
        <v>580.43681504518099</v>
      </c>
      <c r="N219">
        <v>677.99</v>
      </c>
      <c r="O219" s="810" t="s">
        <v>563</v>
      </c>
      <c r="P219" s="811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6">
        <v>560.27</v>
      </c>
      <c r="L220" s="631">
        <v>589.57000000000005</v>
      </c>
      <c r="M220" s="408">
        <v>643.09</v>
      </c>
      <c r="O220" s="810" t="s">
        <v>564</v>
      </c>
      <c r="P220" s="811" t="e">
        <v>#N/A</v>
      </c>
    </row>
    <row r="221" spans="1:50">
      <c r="A221" t="s">
        <v>27</v>
      </c>
      <c r="B221" s="468" t="s">
        <v>291</v>
      </c>
      <c r="J221">
        <v>547.6</v>
      </c>
      <c r="K221" s="776">
        <v>515.07000000000005</v>
      </c>
      <c r="L221">
        <v>548.96999999999991</v>
      </c>
      <c r="M221" s="408">
        <v>629.70000000000005</v>
      </c>
      <c r="O221" s="810" t="s">
        <v>565</v>
      </c>
      <c r="P221" s="811" t="e">
        <v>#N/A</v>
      </c>
    </row>
    <row r="222" spans="1:50">
      <c r="A222" t="s">
        <v>27</v>
      </c>
      <c r="B222" s="468" t="s">
        <v>545</v>
      </c>
      <c r="K222" s="776"/>
      <c r="L222">
        <v>571.71</v>
      </c>
      <c r="M222" s="408">
        <v>605.55000000000007</v>
      </c>
      <c r="O222" s="810" t="s">
        <v>566</v>
      </c>
      <c r="P222" s="823" t="e">
        <v>#N/A</v>
      </c>
      <c r="AS222" s="815"/>
      <c r="AX222" s="815"/>
    </row>
    <row r="223" spans="1:50">
      <c r="O223" s="810" t="s">
        <v>567</v>
      </c>
      <c r="P223" s="811" t="e">
        <v>#N/A</v>
      </c>
    </row>
    <row r="224" spans="1:50">
      <c r="O224" s="810" t="s">
        <v>568</v>
      </c>
      <c r="P224" s="811" t="e">
        <v>#N/A</v>
      </c>
    </row>
    <row r="225" spans="11:16">
      <c r="K225" s="811">
        <v>547.69000000000005</v>
      </c>
      <c r="O225" s="810" t="s">
        <v>569</v>
      </c>
      <c r="P225" s="811" t="e">
        <v>#N/A</v>
      </c>
    </row>
    <row r="226" spans="11:16">
      <c r="O226" s="810" t="s">
        <v>570</v>
      </c>
      <c r="P226" s="811" t="e">
        <v>#N/A</v>
      </c>
    </row>
    <row r="227" spans="11:16">
      <c r="O227" s="810" t="s">
        <v>571</v>
      </c>
      <c r="P227" s="812" t="e">
        <v>#N/A</v>
      </c>
    </row>
    <row r="228" spans="11:16">
      <c r="O228" s="810" t="s">
        <v>572</v>
      </c>
      <c r="P228" s="812" t="e">
        <v>#N/A</v>
      </c>
    </row>
    <row r="229" spans="11:16">
      <c r="O229" s="810" t="s">
        <v>573</v>
      </c>
      <c r="P229" s="812" t="e">
        <v>#N/A</v>
      </c>
    </row>
    <row r="230" spans="11:16">
      <c r="O230" s="810" t="s">
        <v>574</v>
      </c>
      <c r="P230" s="812" t="e">
        <v>#N/A</v>
      </c>
    </row>
    <row r="231" spans="11:16">
      <c r="O231" s="810" t="s">
        <v>575</v>
      </c>
      <c r="P231" s="812" t="e">
        <v>#N/A</v>
      </c>
    </row>
    <row r="232" spans="11:16">
      <c r="O232" s="810" t="s">
        <v>576</v>
      </c>
      <c r="P232" s="812" t="e">
        <v>#N/A</v>
      </c>
    </row>
    <row r="233" spans="11:16">
      <c r="O233" s="810" t="s">
        <v>577</v>
      </c>
      <c r="P233" s="812" t="e">
        <v>#N/A</v>
      </c>
    </row>
    <row r="234" spans="11:16">
      <c r="O234" s="810" t="s">
        <v>578</v>
      </c>
      <c r="P234" s="812" t="e">
        <v>#N/A</v>
      </c>
    </row>
    <row r="235" spans="11:16">
      <c r="O235" s="810" t="s">
        <v>579</v>
      </c>
      <c r="P235" s="812">
        <v>979.23</v>
      </c>
    </row>
    <row r="236" spans="11:16">
      <c r="O236" s="810" t="s">
        <v>580</v>
      </c>
      <c r="P236" s="812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H19" zoomScale="79" zoomScaleNormal="79" workbookViewId="0">
      <selection activeCell="C28" sqref="C28:D28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59" t="s">
        <v>2158</v>
      </c>
      <c r="C1" s="960"/>
      <c r="D1" s="960"/>
      <c r="M1" s="534"/>
      <c r="BA1" s="472"/>
      <c r="BB1" s="472"/>
      <c r="BC1" s="472"/>
      <c r="BD1" s="472"/>
    </row>
    <row r="2" spans="1:84" ht="25.5">
      <c r="B2" s="535" t="str">
        <f>CAPA!C9</f>
        <v>Coopermila</v>
      </c>
      <c r="C2" s="621"/>
      <c r="D2" s="536"/>
      <c r="E2" s="576" t="s">
        <v>581</v>
      </c>
      <c r="F2" s="576"/>
      <c r="G2" s="576"/>
      <c r="H2" s="599" t="s">
        <v>2407</v>
      </c>
      <c r="M2" s="534"/>
      <c r="AK2" s="473"/>
      <c r="AZ2" s="1804" t="s">
        <v>582</v>
      </c>
      <c r="BA2" s="1805"/>
      <c r="BB2" s="1805"/>
      <c r="BC2" s="1805"/>
      <c r="BD2" s="1805"/>
      <c r="BE2" s="1805"/>
      <c r="BF2" s="1805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2024</v>
      </c>
      <c r="F3" s="571"/>
      <c r="G3" s="571"/>
      <c r="H3" s="524"/>
      <c r="M3" s="534"/>
      <c r="O3" s="376">
        <f>VALUE(RIGHT(P3,2))</f>
        <v>32</v>
      </c>
      <c r="P3" s="961" t="str">
        <f>VLOOKUP($C$9,Informacoes[],4,FALSE)</f>
        <v>C32</v>
      </c>
      <c r="Q3" s="961" t="str">
        <f>VLOOKUP($C$9,Informacoes[],2,FALSE)</f>
        <v>Cooperativa de Eletrificação Lauro Muller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1" t="s">
        <v>2025</v>
      </c>
      <c r="F4" s="741"/>
      <c r="G4" s="741"/>
      <c r="H4" s="766"/>
      <c r="I4" s="537"/>
      <c r="M4" s="534"/>
      <c r="AZ4" s="833"/>
      <c r="BA4" s="962">
        <v>40940</v>
      </c>
      <c r="BB4" s="962" t="s">
        <v>548</v>
      </c>
      <c r="BC4" s="962">
        <v>41306</v>
      </c>
      <c r="BD4" s="962">
        <v>41671</v>
      </c>
      <c r="BE4" s="963">
        <v>42036</v>
      </c>
      <c r="BF4" s="964">
        <v>42401</v>
      </c>
      <c r="BG4" s="964">
        <v>42767</v>
      </c>
      <c r="BI4" s="965"/>
      <c r="BJ4" s="965"/>
      <c r="BK4" s="965"/>
      <c r="BL4" s="965"/>
      <c r="BM4" s="966"/>
      <c r="BN4" s="966"/>
      <c r="BO4" s="966"/>
      <c r="BP4" s="966"/>
      <c r="BQ4" s="966"/>
      <c r="BR4" s="966"/>
      <c r="BS4" s="966"/>
      <c r="BT4" s="966"/>
      <c r="BU4" s="966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1" t="s">
        <v>583</v>
      </c>
      <c r="F5" s="741"/>
      <c r="G5" s="741"/>
      <c r="H5" s="751" t="s">
        <v>2408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2160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49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49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7" t="s">
        <v>365</v>
      </c>
      <c r="D9" s="9"/>
      <c r="E9" s="1806" t="s">
        <v>585</v>
      </c>
      <c r="F9" s="1807"/>
      <c r="G9" s="1807"/>
      <c r="H9" s="1807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8" t="s">
        <v>587</v>
      </c>
      <c r="C10" s="969" t="str">
        <f>IF(C9="Cercos","N/NE","S/SE/CO")</f>
        <v>S/SE/CO</v>
      </c>
      <c r="D10" s="9"/>
      <c r="E10" s="594"/>
      <c r="F10" s="595" t="s">
        <v>588</v>
      </c>
      <c r="G10" s="596">
        <v>44802.473402777781</v>
      </c>
      <c r="H10" s="970"/>
      <c r="I10" s="591"/>
      <c r="J10" s="740" t="s">
        <v>589</v>
      </c>
      <c r="K10" s="971">
        <f>IFERROR(O3+200,0)</f>
        <v>232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44813.676585648151</v>
      </c>
      <c r="H11" s="592"/>
      <c r="I11" s="593"/>
      <c r="J11" s="571" t="s">
        <v>591</v>
      </c>
      <c r="K11" s="598">
        <v>5373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44802.47378472222</v>
      </c>
      <c r="H12" s="592"/>
      <c r="I12" s="593"/>
      <c r="J12" s="741" t="s">
        <v>593</v>
      </c>
      <c r="K12" s="750">
        <f>IF(idsreag=P7,Q7,idagente)</f>
        <v>5373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2">
        <f ca="1">YEAR(TODAY())</f>
        <v>2022</v>
      </c>
      <c r="D13" s="261"/>
      <c r="E13" s="594"/>
      <c r="F13" s="595" t="s">
        <v>595</v>
      </c>
      <c r="G13" s="596">
        <v>44810.707129629627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44810.694756944446</v>
      </c>
      <c r="H14" s="592"/>
      <c r="I14" s="9"/>
      <c r="J14" s="740" t="s">
        <v>599</v>
      </c>
      <c r="K14" s="971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44816.479675925926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44802.476817129631</v>
      </c>
      <c r="H16" s="973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44802.477164351854</v>
      </c>
      <c r="H17" s="9"/>
      <c r="I17" s="370"/>
      <c r="J17" s="571" t="s">
        <v>606</v>
      </c>
      <c r="K17" s="974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09" t="str">
        <f ca="1">C110</f>
        <v>REAJUSTE</v>
      </c>
      <c r="D18" s="261"/>
      <c r="E18" s="594"/>
      <c r="F18" s="595" t="s">
        <v>2132</v>
      </c>
      <c r="G18" s="596">
        <v>44802.477268518516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49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5"/>
      <c r="E26" s="976"/>
      <c r="F26" s="977"/>
      <c r="G26" s="978"/>
      <c r="H26" s="975"/>
      <c r="I26" s="975"/>
      <c r="J26" s="975"/>
      <c r="K26" s="979"/>
      <c r="L26" s="980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95" t="s">
        <v>2406</v>
      </c>
      <c r="D28" s="1795"/>
      <c r="E28" s="9"/>
      <c r="F28" s="580" t="s">
        <v>612</v>
      </c>
      <c r="G28" s="581"/>
      <c r="H28" s="581"/>
      <c r="I28" s="9"/>
      <c r="J28" s="1680" t="s">
        <v>613</v>
      </c>
      <c r="K28" s="1681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0" t="s">
        <v>614</v>
      </c>
      <c r="G29" s="740"/>
      <c r="H29" s="981"/>
      <c r="I29" s="9"/>
      <c r="J29" s="1682" t="s">
        <v>615</v>
      </c>
      <c r="K29" s="1683">
        <f>BD!C26</f>
        <v>2625678.5399960899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1" t="s">
        <v>616</v>
      </c>
      <c r="G30" s="741"/>
      <c r="H30" s="982"/>
      <c r="I30" s="9"/>
      <c r="J30" s="1684" t="s">
        <v>617</v>
      </c>
      <c r="K30" s="1685" cm="1">
        <f t="array" ref="K30">IFERROR(limiteParcelaB[Limite_PB]*(1+K18),0)</f>
        <v>2890068.7019928237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0" t="s">
        <v>618</v>
      </c>
      <c r="C31" s="1800"/>
      <c r="D31" s="771"/>
      <c r="E31" s="9"/>
      <c r="F31" s="983"/>
      <c r="G31" s="983"/>
      <c r="H31" s="984"/>
      <c r="I31" s="9"/>
      <c r="J31" s="1686" t="s">
        <v>619</v>
      </c>
      <c r="K31" s="1687">
        <f>D32+D33</f>
        <v>2890068.7</v>
      </c>
      <c r="L31" s="1694" t="s">
        <v>620</v>
      </c>
      <c r="M31" s="1694" t="s">
        <v>2278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5" t="s">
        <v>621</v>
      </c>
      <c r="C32" s="985"/>
      <c r="D32" s="780">
        <v>2166104.23</v>
      </c>
      <c r="E32" s="9"/>
      <c r="F32" s="986" t="s">
        <v>622</v>
      </c>
      <c r="G32" s="987"/>
      <c r="H32" s="987"/>
      <c r="I32" s="9"/>
      <c r="J32" s="1682" t="s">
        <v>623</v>
      </c>
      <c r="K32" s="1688" cm="1">
        <f t="array" aca="1" ref="K32" ca="1">subvencao[Subvencao Anual]*(VLOOKUP(DATE(AnoRefTar,MONTH(M32)-1,1),Índices!B6:F500,3,FALSE)/VLOOKUP(DATE(YEAR(M32),MONTH(L32)-1,1),Índices!B6:F500,3,FALSE))</f>
        <v>1494125.1525960967</v>
      </c>
      <c r="L32" s="1693" cm="1">
        <f t="array" ref="L32">subvencao[Data_Referencia Subvencao]</f>
        <v>44430</v>
      </c>
      <c r="M32" s="1693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5" t="s">
        <v>624</v>
      </c>
      <c r="C33" s="985"/>
      <c r="D33" s="781">
        <f>350481.52+179806.53+193676.42</f>
        <v>723964.47000000009</v>
      </c>
      <c r="E33" s="9"/>
      <c r="F33" s="571" t="s">
        <v>625</v>
      </c>
      <c r="G33" s="571"/>
      <c r="H33" s="487"/>
      <c r="I33" s="9"/>
      <c r="J33" s="1686" t="s">
        <v>626</v>
      </c>
      <c r="K33" s="1689">
        <f ca="1">LnkTXTISubvencaoPB/12</f>
        <v>124510.42938300806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8"/>
      <c r="C34" s="988"/>
      <c r="D34" s="989"/>
      <c r="E34" s="9"/>
      <c r="F34" s="741" t="s">
        <v>627</v>
      </c>
      <c r="G34" s="741"/>
      <c r="H34" s="990"/>
      <c r="I34" s="9"/>
      <c r="J34" s="1682" t="s">
        <v>628</v>
      </c>
      <c r="K34" s="1690">
        <f>LinkTXTPR</f>
        <v>5.1311812530391798E-2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1762"/>
      <c r="E35" s="9"/>
      <c r="F35" s="583"/>
      <c r="G35" s="991"/>
      <c r="H35" s="463"/>
      <c r="I35" s="9"/>
      <c r="J35" s="1684" t="s">
        <v>629</v>
      </c>
      <c r="K35" s="1691">
        <f ca="1">IFERROR(Energia!M20/((Energia!M5+Energia!M6-Energia!M7+Energia!N16)+Energia!M20),0)</f>
        <v>5.6021364992628331E-2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233"/>
      <c r="C36" s="753"/>
      <c r="D36" s="782"/>
      <c r="E36" s="9"/>
      <c r="F36" s="688" t="s">
        <v>634</v>
      </c>
      <c r="G36" s="689"/>
      <c r="H36" s="463"/>
      <c r="I36" s="9"/>
      <c r="J36" s="1686" t="s">
        <v>630</v>
      </c>
      <c r="K36" s="1692">
        <f ca="1">IFERROR(LNKTXTPercperdas,0)</f>
        <v>5.1311812530391798E-2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v>573.02</v>
      </c>
      <c r="H37" s="463"/>
      <c r="I37" s="9"/>
      <c r="J37" s="270"/>
      <c r="K37" s="463"/>
      <c r="L37" s="755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16"/>
      <c r="G39" s="1816"/>
      <c r="H39" s="1549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3" t="str">
        <f ca="1">"Variação processo anterior e "&amp;AnoRevRea</f>
        <v>Variação processo anterior e 2022</v>
      </c>
      <c r="H40" s="783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2">
        <f>BD!C5</f>
        <v>16176.632</v>
      </c>
      <c r="E41" s="9"/>
      <c r="G41" s="576" t="s">
        <v>632</v>
      </c>
      <c r="H41" s="993">
        <f ca="1">IFERROR(Calc_Mercado!J15,0)</f>
        <v>0.11339202128106796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11680.891981180501</v>
      </c>
      <c r="E42" s="9"/>
      <c r="G42" s="571" t="s">
        <v>40</v>
      </c>
      <c r="H42" s="993">
        <f ca="1">LnkTxtVarTFSEE</f>
        <v>1.2300978114119454E-2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902485.07053999999</v>
      </c>
      <c r="E43" s="9"/>
      <c r="G43" s="571" t="s">
        <v>41</v>
      </c>
      <c r="H43" s="578">
        <f ca="1">LnkTxtVarCDE</f>
        <v>0.45397438932158485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150736.63787999999</v>
      </c>
      <c r="E46" s="9"/>
      <c r="G46" s="571" t="s">
        <v>47</v>
      </c>
      <c r="H46" s="578">
        <f ca="1">Resultado!F21</f>
        <v>0.51733397954638716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2034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0" t="s">
        <v>635</v>
      </c>
      <c r="C49" s="740"/>
      <c r="D49" s="994">
        <f>BD!C18</f>
        <v>0</v>
      </c>
      <c r="E49" s="9"/>
      <c r="G49" s="740" t="s">
        <v>635</v>
      </c>
      <c r="H49" s="993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1" t="s">
        <v>638</v>
      </c>
      <c r="C51" s="741"/>
      <c r="D51" s="995"/>
      <c r="E51" s="9"/>
      <c r="G51" s="741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6">
        <f>BD!C25</f>
        <v>1611278.94138</v>
      </c>
      <c r="E52" s="9"/>
      <c r="G52" s="576" t="s">
        <v>639</v>
      </c>
      <c r="H52" s="579">
        <f ca="1">Resultado!F32</f>
        <v>2.9238147807839621E-3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6">
        <f>BD!C26</f>
        <v>2625678.5399960899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7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998" t="s">
        <v>215</v>
      </c>
      <c r="C58" s="999"/>
      <c r="D58" s="767"/>
      <c r="E58" s="1803">
        <v>0</v>
      </c>
      <c r="F58" s="1803"/>
      <c r="G58" s="376"/>
      <c r="L58" s="756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7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6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796" t="s">
        <v>648</v>
      </c>
      <c r="F62" s="1797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1750"/>
      <c r="D63" s="1750"/>
      <c r="E63" s="1810"/>
      <c r="F63" s="1811"/>
      <c r="G63" s="1750"/>
      <c r="H63" s="728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1751"/>
      <c r="D64" s="1751"/>
      <c r="E64" s="1812"/>
      <c r="F64" s="1813"/>
      <c r="G64" s="1751"/>
      <c r="H64" s="720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1752"/>
      <c r="D65" s="1752"/>
      <c r="E65" s="1814"/>
      <c r="F65" s="1815"/>
      <c r="G65" s="1752"/>
      <c r="H65" s="739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3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14616.71</v>
      </c>
      <c r="D66" s="734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808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809"/>
      <c r="G66" s="734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3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22458.49</v>
      </c>
      <c r="D67" s="733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8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9"/>
      <c r="G67" s="733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38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3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24519.760000000002</v>
      </c>
      <c r="D68" s="733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8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9"/>
      <c r="G68" s="733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3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24542.48</v>
      </c>
      <c r="D69" s="733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8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9"/>
      <c r="G69" s="733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3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33609.43</v>
      </c>
      <c r="D70" s="733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8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-28966.44</v>
      </c>
      <c r="F70" s="1799"/>
      <c r="G70" s="733">
        <f>IFERROR(VLOOKUP(B70,transmissorapiscofins[#All],2,FALSE),0)</f>
        <v>0</v>
      </c>
      <c r="H70" s="720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3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16861.78</v>
      </c>
      <c r="D71" s="733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8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9"/>
      <c r="G71" s="733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3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22095.87</v>
      </c>
      <c r="D72" s="733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8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9"/>
      <c r="G72" s="733">
        <f>IFERROR(VLOOKUP(B72,transmissorapiscofins[#All],2,FALSE),0)</f>
        <v>0</v>
      </c>
      <c r="H72" s="720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3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13644.2</v>
      </c>
      <c r="D73" s="733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8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9"/>
      <c r="G73" s="733">
        <f>IFERROR(VLOOKUP(B73,transmissorapiscofins[#All],2,FALSE),0)</f>
        <v>0</v>
      </c>
      <c r="H73" s="720">
        <f>SUMIF(BD!$A$41:$A$57,B73,BD!$C$41:$C$57)</f>
        <v>0</v>
      </c>
      <c r="J73" s="1000" t="str">
        <f ca="1">IFERROR(VLOOKUP(TRUE,BD!D41:F56,3,FALSE),"todos os meses")</f>
        <v>todos os meses</v>
      </c>
      <c r="K73" s="1001" t="s">
        <v>656</v>
      </c>
      <c r="L73" s="1002">
        <f ca="1">IF(Energia!F24*2/3=0,0.0000001,Energia!F24*2/3)</f>
        <v>2415199.1375779584</v>
      </c>
      <c r="M73" s="1003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3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20863.330000000002</v>
      </c>
      <c r="D74" s="733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8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-3353.82</v>
      </c>
      <c r="F74" s="1799"/>
      <c r="G74" s="733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3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25562.18</v>
      </c>
      <c r="D75" s="733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8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9"/>
      <c r="G75" s="733">
        <f>IFERROR(VLOOKUP(B75,transmissorapiscofins[#All],2,FALSE),0)</f>
        <v>0</v>
      </c>
      <c r="H75" s="720">
        <f>SUMIF(BD!$A$41:$A$57,B75,BD!$C$41:$C$57)</f>
        <v>92569.592799999999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3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34060.25</v>
      </c>
      <c r="D76" s="733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8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9"/>
      <c r="G76" s="733">
        <f>IFERROR(VLOOKUP(B76,transmissorapiscofins[#All],2,FALSE),0)</f>
        <v>0</v>
      </c>
      <c r="H76" s="720">
        <f>SUMIF(BD!$A$41:$A$57,B76,BD!$C$41:$C$57)</f>
        <v>12.2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5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2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801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802"/>
      <c r="G77" s="832">
        <f>IFERROR(VLOOKUP(B77,transmissorapiscofins[#All],2,FALSE),0)</f>
        <v>0</v>
      </c>
      <c r="H77" s="824">
        <f>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58"/>
      <c r="M79" s="737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7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59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4"/>
      <c r="D82" s="1005"/>
      <c r="E82" s="1005"/>
      <c r="F82" s="1005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0"/>
      <c r="C83" s="1006"/>
      <c r="D83" s="1007"/>
      <c r="E83" s="1007"/>
      <c r="F83" s="1007"/>
      <c r="G83" s="376"/>
      <c r="H83" s="555"/>
      <c r="I83" s="752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0"/>
      <c r="C85" s="1008"/>
      <c r="D85" s="1009"/>
      <c r="E85" s="1009"/>
      <c r="F85" s="1009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1"/>
      <c r="C87" s="1010"/>
      <c r="D87" s="1011"/>
      <c r="E87" s="1011"/>
      <c r="F87" s="1011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17/2008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30 de outubro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de Eletrificação Lauro Muller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Coopermila</v>
      </c>
      <c r="D91" s="527"/>
      <c r="E91" s="528"/>
      <c r="F91" s="527"/>
      <c r="H91" s="752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Lauro Müller - SC</v>
      </c>
      <c r="D92" s="529" t="str">
        <f>VLOOKUP(LnkTXTSigla,Informacoes[],5,FALSE)</f>
        <v>Lauro Müller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1881904.5259199997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1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12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1" t="s">
        <v>207</v>
      </c>
      <c r="C109" s="1012" t="str">
        <f>IF(E109=0,"!vazio!"," e "&amp;E109)</f>
        <v>!vazio!</v>
      </c>
      <c r="D109" s="1013"/>
      <c r="E109" s="1013">
        <f>VLOOKUP(LnkTXTSigla,Informacoes[],13,FALSE)</f>
        <v>0</v>
      </c>
      <c r="F109" s="1013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1" t="s">
        <v>676</v>
      </c>
      <c r="C110" s="1012" t="str">
        <f ca="1">IF(AnoRevRea=VLOOKUP(LnkTXTSigla,Informacoes[],15,FALSE),"REVISÃO","REAJUSTE")</f>
        <v>REAJUSTE</v>
      </c>
      <c r="D110" s="1013"/>
      <c r="E110" s="1013"/>
      <c r="F110" s="1013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1" t="s">
        <v>677</v>
      </c>
      <c r="C111" s="1012" t="str">
        <f ca="1">IF(C110="Reajuste", "Reajuste Tarifário Anual - RTA", "Revisão Tarifária Periódica - RTP")</f>
        <v>Reajuste Tarifário Anual - RTA</v>
      </c>
      <c r="D111" s="1012"/>
      <c r="E111" s="1012"/>
      <c r="F111" s="1012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1"/>
      <c r="C112" s="745"/>
      <c r="D112" s="745"/>
      <c r="E112" s="745"/>
      <c r="F112" s="745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0" t="s">
        <v>678</v>
      </c>
      <c r="C113" s="743" t="str">
        <f>VLOOKUP(C9,Informacoes[],19,FALSE)</f>
        <v>Não</v>
      </c>
      <c r="D113" s="743"/>
      <c r="E113" s="743"/>
      <c r="F113" s="743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1" t="s">
        <v>679</v>
      </c>
      <c r="C114" s="744">
        <f>VLOOKUP(C9,Informacoes[],20,FALSE)</f>
        <v>0</v>
      </c>
      <c r="D114" s="744"/>
      <c r="E114" s="744"/>
      <c r="F114" s="744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4" t="s">
        <v>198</v>
      </c>
      <c r="C119" s="1014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5" t="str">
        <f>LnkTXTSigla</f>
        <v>Coopermila</v>
      </c>
      <c r="C120" s="1016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opLeftCell="F1" zoomScaleNormal="100" workbookViewId="0">
      <selection activeCell="F109" sqref="F109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7" t="s">
        <v>681</v>
      </c>
      <c r="C1" s="1018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Coopermila - REAJUSTE 2022</v>
      </c>
      <c r="C2" s="70"/>
      <c r="D2" s="70"/>
      <c r="E2" s="70"/>
      <c r="F2" s="70"/>
      <c r="G2" s="75"/>
      <c r="H2" s="376" t="s">
        <v>682</v>
      </c>
      <c r="I2" s="658">
        <v>44817.458981481483</v>
      </c>
      <c r="K2" s="693" t="s">
        <v>683</v>
      </c>
      <c r="L2" s="694"/>
    </row>
    <row r="3" spans="1:15" ht="16.5" customHeight="1">
      <c r="A3" s="137"/>
      <c r="B3" s="934" t="s">
        <v>684</v>
      </c>
      <c r="C3" s="784"/>
      <c r="D3" s="75"/>
      <c r="E3" s="75"/>
      <c r="F3" s="75"/>
      <c r="G3" s="75"/>
      <c r="H3" s="659" t="s">
        <v>685</v>
      </c>
      <c r="I3" s="659">
        <v>13</v>
      </c>
      <c r="K3" s="695" t="s">
        <v>686</v>
      </c>
      <c r="L3" s="656">
        <v>-0.138934108301207</v>
      </c>
    </row>
    <row r="4" spans="1:15" ht="16.5">
      <c r="A4" s="137"/>
      <c r="G4" s="75"/>
      <c r="J4" s="9"/>
      <c r="K4" s="695" t="s">
        <v>687</v>
      </c>
      <c r="L4" s="656">
        <v>-8.1704425421003979E-2</v>
      </c>
    </row>
    <row r="5" spans="1:15" ht="16.5" customHeight="1">
      <c r="A5" s="137"/>
      <c r="B5" s="1019" t="s">
        <v>688</v>
      </c>
      <c r="C5" s="1020">
        <f ca="1">D39+D34</f>
        <v>10395389.556313846</v>
      </c>
      <c r="D5" s="142"/>
      <c r="E5" s="79"/>
      <c r="G5" s="75"/>
      <c r="H5" s="657"/>
      <c r="J5" s="270"/>
      <c r="K5" s="696" t="s">
        <v>689</v>
      </c>
      <c r="L5" s="664">
        <v>-0.11820791344066306</v>
      </c>
    </row>
    <row r="6" spans="1:15" ht="16.5" customHeight="1">
      <c r="A6" s="137"/>
      <c r="B6" s="76" t="s">
        <v>690</v>
      </c>
      <c r="C6" s="77">
        <f ca="1">Mercado_RA0_Reais</f>
        <v>11631707.531150002</v>
      </c>
      <c r="D6" s="77"/>
      <c r="E6" s="471"/>
      <c r="F6" s="75"/>
      <c r="G6" s="138"/>
      <c r="H6" s="81"/>
      <c r="J6" s="270"/>
      <c r="K6" s="697" t="s">
        <v>691</v>
      </c>
      <c r="L6" s="698">
        <v>533.16</v>
      </c>
      <c r="M6" s="79"/>
    </row>
    <row r="7" spans="1:15" ht="16.5" customHeight="1">
      <c r="A7" s="137"/>
      <c r="B7" s="1021" t="s">
        <v>2316</v>
      </c>
      <c r="C7" s="1022">
        <f ca="1">ROUND((C5/C6-1),4)</f>
        <v>-0.10630000000000001</v>
      </c>
      <c r="D7" s="488"/>
      <c r="E7" s="75"/>
      <c r="F7" s="75"/>
      <c r="G7" s="75"/>
      <c r="H7" s="81"/>
      <c r="K7" s="49" t="s">
        <v>692</v>
      </c>
      <c r="L7" s="912">
        <f>L6/'Tabelas e Gráficos'!U39-1</f>
        <v>-0.13187332084995529</v>
      </c>
    </row>
    <row r="8" spans="1:15" ht="16.5" customHeight="1">
      <c r="A8" s="137"/>
      <c r="B8" s="78" t="s">
        <v>693</v>
      </c>
      <c r="C8" s="252">
        <f ca="1">ROUND(Financeiros!E7,4)</f>
        <v>-0.1132</v>
      </c>
      <c r="D8" s="489"/>
      <c r="E8" s="75"/>
      <c r="F8" s="486"/>
      <c r="G8" s="75"/>
      <c r="H8" s="81"/>
      <c r="K8" s="699" t="s">
        <v>694</v>
      </c>
      <c r="L8" s="700" t="s">
        <v>2038</v>
      </c>
      <c r="M8" s="660" t="s">
        <v>696</v>
      </c>
    </row>
    <row r="9" spans="1:15" ht="16.5" customHeight="1">
      <c r="A9" s="137"/>
      <c r="B9" s="1023" t="s">
        <v>2317</v>
      </c>
      <c r="C9" s="1024">
        <f ca="1">ROUND((C7+C8),5)</f>
        <v>-0.2195</v>
      </c>
      <c r="D9" s="488"/>
      <c r="E9" s="488"/>
      <c r="F9" s="75"/>
      <c r="G9" s="75"/>
      <c r="K9" s="695" t="s">
        <v>697</v>
      </c>
      <c r="L9" s="701">
        <f>Aj.Subsídio!G28*12</f>
        <v>0</v>
      </c>
      <c r="M9" s="701">
        <v>0</v>
      </c>
    </row>
    <row r="10" spans="1:15" ht="16.5" customHeight="1">
      <c r="A10" s="137"/>
      <c r="B10" s="1023" t="s">
        <v>698</v>
      </c>
      <c r="C10" s="1024">
        <f ca="1">ROUND((LnkTXTEfeito-LnkTXTIRTTotal),4)</f>
        <v>0.1013</v>
      </c>
      <c r="D10" s="704">
        <f ca="1">LnKTxTRA1+Financeiros!D5</f>
        <v>9078408.0535688289</v>
      </c>
      <c r="E10" s="75"/>
      <c r="F10" s="75"/>
      <c r="G10" s="75"/>
      <c r="K10" s="695" t="s">
        <v>699</v>
      </c>
      <c r="L10" s="701">
        <f>Aj.Subsídio!G29*12</f>
        <v>0</v>
      </c>
      <c r="M10" s="701">
        <v>0</v>
      </c>
    </row>
    <row r="11" spans="1:15" ht="16.5" customHeight="1">
      <c r="A11" s="137"/>
      <c r="B11" s="934" t="s">
        <v>700</v>
      </c>
      <c r="C11" s="784"/>
      <c r="D11" s="1025"/>
      <c r="E11" s="1025"/>
      <c r="F11" s="1025"/>
      <c r="G11" s="75"/>
      <c r="K11" s="695" t="s">
        <v>701</v>
      </c>
      <c r="L11" s="701">
        <f>Aj.Subsídio!G30*12</f>
        <v>0</v>
      </c>
      <c r="M11" s="701">
        <v>0</v>
      </c>
    </row>
    <row r="12" spans="1:15" ht="16.5" customHeight="1">
      <c r="E12" s="1026"/>
      <c r="F12" s="1026"/>
      <c r="K12" s="695" t="s">
        <v>702</v>
      </c>
      <c r="L12" s="701">
        <f>Aj.Subsídio!G31*12</f>
        <v>311.88</v>
      </c>
      <c r="M12" s="701">
        <v>117.99366350992591</v>
      </c>
      <c r="O12" s="835"/>
    </row>
    <row r="13" spans="1:15" ht="15" customHeight="1">
      <c r="B13" s="1027"/>
      <c r="C13" s="1028" t="s">
        <v>695</v>
      </c>
      <c r="D13" s="1029" t="s">
        <v>696</v>
      </c>
      <c r="E13" s="1028" t="s">
        <v>703</v>
      </c>
      <c r="F13" s="1027" t="s">
        <v>704</v>
      </c>
      <c r="K13" s="695" t="s">
        <v>705</v>
      </c>
      <c r="L13" s="701">
        <f>Aj.Subsídio!G32*12</f>
        <v>445052.64</v>
      </c>
      <c r="M13" s="701">
        <v>183397.14972391695</v>
      </c>
      <c r="O13" s="835"/>
    </row>
    <row r="14" spans="1:15" ht="14.25">
      <c r="B14" s="1030" t="s">
        <v>706</v>
      </c>
      <c r="C14" s="1031">
        <f ca="1">SUM(C15:C23)</f>
        <v>1175563.1888918581</v>
      </c>
      <c r="D14" s="1032">
        <f ca="1">SUM(D15:D23)</f>
        <v>2000617.6240269083</v>
      </c>
      <c r="E14" s="1033">
        <f t="shared" ref="E14:E34" ca="1" si="0">(D14-C14)/LnkTXTRA0</f>
        <v>7.0931497626254267E-2</v>
      </c>
      <c r="F14" s="1034">
        <f ca="1">IF(ISERROR(D14/C14-1),"-",D14/C14-1)</f>
        <v>0.70183758978773891</v>
      </c>
      <c r="G14" s="287"/>
      <c r="H14" s="100"/>
      <c r="K14" s="695" t="s">
        <v>707</v>
      </c>
      <c r="L14" s="701">
        <f>Aj.Subsídio!G33*12</f>
        <v>101.03999999999999</v>
      </c>
      <c r="M14" s="701">
        <v>15.969211555959067</v>
      </c>
      <c r="O14" s="835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3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3"/>
    </row>
    <row r="17" spans="2:14" ht="14.25">
      <c r="B17" s="78" t="s">
        <v>710</v>
      </c>
      <c r="C17" s="223">
        <f ca="1">Mercado_Faturado_Encargo_TFSEE_BRUTO</f>
        <v>12700.855155608337</v>
      </c>
      <c r="D17" s="131">
        <f ca="1">Encargos!C6</f>
        <v>12857.088096908077</v>
      </c>
      <c r="E17" s="221">
        <f t="shared" ca="1" si="0"/>
        <v>1.343164285048819E-5</v>
      </c>
      <c r="F17" s="253">
        <f t="shared" ca="1" si="1"/>
        <v>1.2300978114119454E-2</v>
      </c>
      <c r="G17" s="287"/>
    </row>
    <row r="18" spans="2:14" ht="14.25">
      <c r="B18" s="78" t="s">
        <v>711</v>
      </c>
      <c r="C18" s="224">
        <f ca="1">Mercado_Faturado_Encargo_CDE_BRUTO+Calc_Mercado!S75</f>
        <v>995273.42836156057</v>
      </c>
      <c r="D18" s="225">
        <f ca="1">Encargos!C7</f>
        <v>1447102.0752100002</v>
      </c>
      <c r="E18" s="222">
        <f t="shared" ca="1" si="0"/>
        <v>3.8844567372282292E-2</v>
      </c>
      <c r="F18" s="253">
        <f t="shared" ca="1" si="1"/>
        <v>0.45397438932158485</v>
      </c>
      <c r="G18" s="287"/>
      <c r="H18" s="140"/>
      <c r="K18" s="49" t="s">
        <v>712</v>
      </c>
      <c r="L18" s="702">
        <v>44819.662893518522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713</v>
      </c>
      <c r="L19" s="695"/>
      <c r="M19" s="695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286370.12</v>
      </c>
      <c r="E20" s="221">
        <f t="shared" ca="1" si="0"/>
        <v>2.4619783400940377E-2</v>
      </c>
      <c r="F20" s="253" t="str">
        <f t="shared" ca="1" si="1"/>
        <v>-</v>
      </c>
      <c r="G20" s="287"/>
      <c r="K20" s="695" t="s">
        <v>715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167588.9053746892</v>
      </c>
      <c r="D21" s="131">
        <f ca="1">Encargos!C10</f>
        <v>254288.34072000007</v>
      </c>
      <c r="E21" s="221">
        <f t="shared" ca="1" si="0"/>
        <v>7.4537152101811039E-3</v>
      </c>
      <c r="F21" s="253">
        <f t="shared" ca="1" si="1"/>
        <v>0.51733397954638716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39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5" t="s">
        <v>717</v>
      </c>
      <c r="C24" s="1031">
        <f ca="1">SUM(C25:C32)</f>
        <v>1876418.2265742095</v>
      </c>
      <c r="D24" s="1032">
        <f>SUM(D25:D32)</f>
        <v>1881904.5259199997</v>
      </c>
      <c r="E24" s="1033">
        <f t="shared" ca="1" si="0"/>
        <v>4.7166758028412679E-4</v>
      </c>
      <c r="F24" s="1034">
        <f t="shared" ca="1" si="1"/>
        <v>2.9238147807839621E-3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39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C27" s="197"/>
      <c r="D27" s="1740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C28" s="197"/>
      <c r="D28" s="1740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40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40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39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1876418.2265742095</v>
      </c>
      <c r="D32" s="1739">
        <f>CUSD!C3</f>
        <v>1881904.5259199997</v>
      </c>
      <c r="E32" s="221">
        <f t="shared" ca="1" si="2"/>
        <v>4.7166758028412679E-4</v>
      </c>
      <c r="F32" s="254">
        <f t="shared" ca="1" si="1"/>
        <v>2.9238147807839621E-3</v>
      </c>
      <c r="G32" s="287"/>
    </row>
    <row r="33" spans="2:8" ht="14.25">
      <c r="B33" s="1035" t="s">
        <v>108</v>
      </c>
      <c r="C33" s="1031">
        <f ca="1">SUM(Calc_Mercado!C79:C84)</f>
        <v>5601476.3360112496</v>
      </c>
      <c r="D33" s="1032">
        <f ca="1">Energia!F24</f>
        <v>3622798.7063669376</v>
      </c>
      <c r="E33" s="1033">
        <f t="shared" ca="1" si="0"/>
        <v>-0.17011067586984663</v>
      </c>
      <c r="F33" s="1034">
        <f ca="1">IF(ISERROR(D33/C33-1),"-",D33/C33-1)</f>
        <v>-0.35324216527054131</v>
      </c>
      <c r="G33" s="287"/>
    </row>
    <row r="34" spans="2:8" ht="14.25">
      <c r="B34" s="1036" t="s">
        <v>722</v>
      </c>
      <c r="C34" s="1037">
        <f ca="1">C14+C24+C33</f>
        <v>8653457.751477316</v>
      </c>
      <c r="D34" s="1038">
        <f ca="1">D33+D24+D14</f>
        <v>7505320.8563138461</v>
      </c>
      <c r="E34" s="1039">
        <f t="shared" ca="1" si="0"/>
        <v>-9.8707510663308101E-2</v>
      </c>
      <c r="F34" s="1040">
        <f ca="1">IF(ISERROR(D34/C34-1),"-",D34/C34-1)</f>
        <v>-0.13267955170491941</v>
      </c>
      <c r="G34" s="287"/>
    </row>
    <row r="35" spans="2:8" ht="14.25">
      <c r="G35" s="69"/>
      <c r="H35" s="107"/>
    </row>
    <row r="36" spans="2:8" ht="14.25">
      <c r="B36" s="934" t="s">
        <v>104</v>
      </c>
      <c r="C36" s="1297"/>
      <c r="D36" s="1297"/>
      <c r="E36" s="1025"/>
      <c r="F36" s="1025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695</v>
      </c>
      <c r="D38" s="661" t="s">
        <v>696</v>
      </c>
      <c r="E38" s="1041" t="s">
        <v>703</v>
      </c>
      <c r="F38" s="661" t="s">
        <v>704</v>
      </c>
      <c r="G38" s="69"/>
      <c r="H38" s="141"/>
    </row>
    <row r="39" spans="2:8" ht="15.75" customHeight="1">
      <c r="B39" s="1042" t="s">
        <v>723</v>
      </c>
      <c r="C39" s="1043">
        <f ca="1">LnkTXTRA0-C34</f>
        <v>2978249.779672686</v>
      </c>
      <c r="D39" s="1044">
        <f>IFERROR(SMALL(IF(LnkTXTPBReq=0,CAPA!K29,LnkTXTPBReq):LNKTXTLImPB,1),0)</f>
        <v>2890068.7</v>
      </c>
      <c r="E39" s="1045">
        <f ca="1">(D39-C39)/LnkTXTRA0</f>
        <v>-7.5810949885504516E-3</v>
      </c>
      <c r="F39" s="1046">
        <f ca="1">IF(ISERROR(D39/C39-1),"-",D39/C39-1)</f>
        <v>-2.9608355979590439E-2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4" t="s">
        <v>724</v>
      </c>
      <c r="C41" s="784"/>
      <c r="D41" s="784"/>
      <c r="E41" s="1025"/>
      <c r="F41" s="1025"/>
    </row>
    <row r="42" spans="2:8" ht="9" customHeight="1">
      <c r="E42" s="75"/>
      <c r="F42" s="75"/>
    </row>
    <row r="43" spans="2:8" ht="15.75" customHeight="1">
      <c r="B43" s="705"/>
      <c r="C43" s="1027" t="s">
        <v>725</v>
      </c>
      <c r="D43" s="1027" t="s">
        <v>703</v>
      </c>
      <c r="E43" s="461" t="s">
        <v>726</v>
      </c>
      <c r="F43" s="461"/>
      <c r="G43" s="461"/>
    </row>
    <row r="44" spans="2:8" ht="15.75" customHeight="1">
      <c r="B44" s="1047" t="s">
        <v>727</v>
      </c>
      <c r="C44" s="1048">
        <f ca="1">SUM(C45:C85)</f>
        <v>-1316981.5027450167</v>
      </c>
      <c r="D44" s="1749">
        <f ca="1">C44/Financeiros!D4</f>
        <v>-0.11322340242979008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261031.8883470876</v>
      </c>
      <c r="D45" s="466">
        <f ca="1">C45/Financeiros!$D$4</f>
        <v>2.2441407475904781E-2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-113795.45663428237</v>
      </c>
      <c r="D46" s="466">
        <f ca="1">C46/Financeiros!$D$4</f>
        <v>-9.7832116505281192E-3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-33595.792543624571</v>
      </c>
      <c r="D55" s="466">
        <f ca="1">C55/Financeiros!$D$4</f>
        <v>-2.888294126520479E-3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-1494125.1525960967</v>
      </c>
      <c r="D56" s="466">
        <f ca="1">C56/Financeiros!$D$4</f>
        <v>-0.1284527786307206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-95594.391468786154</v>
      </c>
      <c r="D57" s="466">
        <f ca="1">C57/Financeiros!$D$4</f>
        <v>-8.2184314910585567E-3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 xml:space="preserve">Repasse de ICMS 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customHeight="1">
      <c r="B82" s="82" t="str">
        <f>'Tabelas e Gráficos'!AM204</f>
        <v>Previsão de Risco Hidrologico</v>
      </c>
      <c r="C82" s="447">
        <f ca="1">'Tabelas e Gráficos'!AN204</f>
        <v>159097.40215068549</v>
      </c>
      <c r="D82" s="466">
        <f ca="1">C82/Financeiros!$D$4</f>
        <v>1.3677905993132882E-2</v>
      </c>
      <c r="E82" s="461">
        <f t="shared" ca="1" si="3"/>
        <v>1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 xml:space="preserve">Diferimento CUSD 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45"/>
      <c r="C86" s="1746"/>
      <c r="D86" s="1747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45"/>
      <c r="C102" s="1746"/>
      <c r="D102" s="1747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7" zoomScale="65" zoomScaleNormal="65" workbookViewId="0">
      <selection activeCell="C33" sqref="C33"/>
    </sheetView>
  </sheetViews>
  <sheetFormatPr defaultColWidth="9.140625" defaultRowHeight="12.75" customHeight="1"/>
  <cols>
    <col min="1" max="1" width="4.7109375" style="94" customWidth="1"/>
    <col min="2" max="2" width="23.5703125" style="94" bestFit="1" customWidth="1"/>
    <col min="3" max="3" width="21.140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0" t="s">
        <v>872</v>
      </c>
      <c r="C1" s="1018"/>
      <c r="D1" s="931"/>
      <c r="E1" s="931"/>
      <c r="F1" s="931"/>
      <c r="G1" s="1128" t="s">
        <v>873</v>
      </c>
      <c r="H1" s="1129">
        <f ca="1">LnkTXTIRTEco</f>
        <v>-0.10630000000000001</v>
      </c>
      <c r="I1" s="70"/>
      <c r="J1" s="70"/>
      <c r="P1" s="1130" t="s">
        <v>874</v>
      </c>
      <c r="Q1" s="1131"/>
      <c r="S1" s="1132" t="s">
        <v>875</v>
      </c>
      <c r="T1" s="1131" t="s">
        <v>876</v>
      </c>
      <c r="W1" s="1130" t="s">
        <v>875</v>
      </c>
      <c r="X1" s="1131" t="s">
        <v>876</v>
      </c>
    </row>
    <row r="2" spans="2:24" ht="14.25">
      <c r="B2" s="136" t="str">
        <f>CAPA!C9</f>
        <v>Coopermila</v>
      </c>
      <c r="C2" s="70"/>
      <c r="D2" s="70"/>
      <c r="G2" s="120" t="s">
        <v>877</v>
      </c>
      <c r="H2" s="121">
        <f ca="1">LnkTXTIRTTotal</f>
        <v>-0.2195</v>
      </c>
      <c r="P2" s="1133">
        <f>DATE(YEAR(P4),MONTH(P4)-1,1)</f>
        <v>44440</v>
      </c>
      <c r="Q2" s="663"/>
      <c r="S2" s="662" t="s">
        <v>878</v>
      </c>
      <c r="T2" s="663" t="s">
        <v>879</v>
      </c>
      <c r="W2" s="662" t="s">
        <v>880</v>
      </c>
      <c r="X2" s="663" t="s">
        <v>879</v>
      </c>
    </row>
    <row r="3" spans="2:24" ht="14.25">
      <c r="P3" s="1130" t="s">
        <v>874</v>
      </c>
      <c r="Q3" s="1131"/>
      <c r="S3" s="1132" t="s">
        <v>875</v>
      </c>
      <c r="T3" s="1131" t="s">
        <v>876</v>
      </c>
      <c r="W3" s="1130" t="s">
        <v>875</v>
      </c>
      <c r="X3" s="1131" t="s">
        <v>876</v>
      </c>
    </row>
    <row r="4" spans="2:24" ht="14.25">
      <c r="P4" s="1133">
        <f>DATE(YEAR(P6),MONTH(P6)-1,1)</f>
        <v>44470</v>
      </c>
      <c r="Q4" s="663"/>
      <c r="S4" s="662" t="s">
        <v>538</v>
      </c>
      <c r="T4" s="663" t="s">
        <v>879</v>
      </c>
      <c r="W4" s="662" t="s">
        <v>880</v>
      </c>
      <c r="X4" s="663" t="s">
        <v>879</v>
      </c>
    </row>
    <row r="5" spans="2:24" ht="14.25">
      <c r="P5" s="1130" t="s">
        <v>874</v>
      </c>
      <c r="Q5" s="1131"/>
      <c r="S5" s="1130" t="s">
        <v>875</v>
      </c>
      <c r="T5" s="1131" t="s">
        <v>876</v>
      </c>
      <c r="V5" s="95"/>
      <c r="W5" s="1130" t="s">
        <v>875</v>
      </c>
      <c r="X5" s="1131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3">
        <f>DATE(YEAR(P8),MONTH(P8)-1,1)</f>
        <v>44501</v>
      </c>
      <c r="Q6" s="663"/>
      <c r="S6" s="662" t="str">
        <f>"=A3"</f>
        <v>=A3</v>
      </c>
      <c r="T6" s="663" t="s">
        <v>879</v>
      </c>
      <c r="W6" s="662" t="s">
        <v>880</v>
      </c>
      <c r="X6" s="663" t="s">
        <v>879</v>
      </c>
    </row>
    <row r="7" spans="2:24" ht="14.25">
      <c r="B7" s="1134" t="s">
        <v>778</v>
      </c>
      <c r="C7" s="1134" t="s">
        <v>108</v>
      </c>
      <c r="D7" s="1134" t="s">
        <v>884</v>
      </c>
      <c r="E7" s="96"/>
      <c r="F7" s="1134" t="s">
        <v>778</v>
      </c>
      <c r="G7" s="1134" t="s">
        <v>884</v>
      </c>
      <c r="I7" s="1135" t="s">
        <v>778</v>
      </c>
      <c r="J7" s="1135" t="s">
        <v>885</v>
      </c>
      <c r="L7" s="416" t="s">
        <v>886</v>
      </c>
      <c r="M7" s="416"/>
      <c r="N7" s="416" t="s">
        <v>725</v>
      </c>
      <c r="P7" s="1130" t="s">
        <v>874</v>
      </c>
      <c r="Q7" s="1131"/>
      <c r="S7" s="1130" t="s">
        <v>875</v>
      </c>
      <c r="T7" s="1131" t="s">
        <v>876</v>
      </c>
      <c r="W7" s="1130" t="s">
        <v>875</v>
      </c>
      <c r="X7" s="1131" t="s">
        <v>876</v>
      </c>
    </row>
    <row r="8" spans="2:24" ht="14.25">
      <c r="B8" s="1136" t="s">
        <v>887</v>
      </c>
      <c r="C8" s="1137">
        <f ca="1">SUM(C9:C15)</f>
        <v>18010.933000000005</v>
      </c>
      <c r="D8" s="1138">
        <f ca="1">SUM(D9:D15)</f>
        <v>11631707.531150002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0.25042181304037453</v>
      </c>
      <c r="L8" s="1139" t="s">
        <v>889</v>
      </c>
      <c r="M8" s="1140"/>
      <c r="N8" s="1141">
        <f>DSUM('BD MERCADO'!A2:AAA999998,"Total",S27:S28)</f>
        <v>310028.37893000001</v>
      </c>
      <c r="P8" s="1133">
        <f>DATE(YEAR(P10),MONTH(P10)-1,1)</f>
        <v>44531</v>
      </c>
      <c r="Q8" s="663"/>
      <c r="S8" s="662" t="str">
        <f>"=A3a"</f>
        <v>=A3a</v>
      </c>
      <c r="T8" s="663" t="s">
        <v>879</v>
      </c>
      <c r="W8" s="662" t="s">
        <v>880</v>
      </c>
      <c r="X8" s="663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2" t="s">
        <v>755</v>
      </c>
      <c r="J9" s="1143">
        <f ca="1">SUM(INDIRECT("dados_MercadoBase[[PisPasep]:[Cofins]]"))/SUM(INDIRECT("dados_MercadoBase[[PisPasep]:[ICMS]]"),INDIRECT("dados_MercadoBase[FinTotAj]"))</f>
        <v>4.4704951504609166E-6</v>
      </c>
      <c r="L9" s="96" t="s">
        <v>890</v>
      </c>
      <c r="M9" s="415"/>
      <c r="N9" s="115">
        <f>DSUM('BD MERCADO'!A2:AAA999998,"Total",S29:S30)</f>
        <v>7041420.6182500003</v>
      </c>
      <c r="P9" s="1130" t="s">
        <v>874</v>
      </c>
      <c r="Q9" s="1131"/>
      <c r="S9" s="1130" t="s">
        <v>875</v>
      </c>
      <c r="T9" s="1131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200191.17615000001</v>
      </c>
      <c r="P10" s="1133">
        <f>DATE(YEAR(P12),MONTH(P12)-1,1)</f>
        <v>44562</v>
      </c>
      <c r="Q10" s="663"/>
      <c r="S10" s="662" t="s">
        <v>533</v>
      </c>
      <c r="T10" s="663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167588.90537468911</v>
      </c>
      <c r="L11" s="96" t="s">
        <v>894</v>
      </c>
      <c r="M11" s="415"/>
      <c r="N11" s="115">
        <f>DSUM('BD MERCADO'!A2:AAA999998,"Total",S33:S34)</f>
        <v>3972731.5494500017</v>
      </c>
      <c r="P11" s="1130" t="s">
        <v>874</v>
      </c>
      <c r="Q11" s="1131"/>
      <c r="S11" s="1130" t="s">
        <v>875</v>
      </c>
      <c r="T11" s="1131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995273.42836156092</v>
      </c>
      <c r="I12" s="111" t="s">
        <v>895</v>
      </c>
      <c r="L12" s="96" t="s">
        <v>896</v>
      </c>
      <c r="M12" s="415"/>
      <c r="N12" s="115">
        <f>DSUM('BD MERCADO'!A2:AAA999998,"Total",S35:S36)</f>
        <v>95154.44031999998</v>
      </c>
      <c r="P12" s="1133">
        <f>DATE(YEAR(P14),MONTH(P14)-1,1)</f>
        <v>44593</v>
      </c>
      <c r="Q12" s="663"/>
      <c r="S12" s="662" t="s">
        <v>897</v>
      </c>
      <c r="T12" s="663" t="s">
        <v>879</v>
      </c>
      <c r="X12" s="97"/>
    </row>
    <row r="13" spans="2:24" ht="14.25">
      <c r="B13" s="112" t="s">
        <v>533</v>
      </c>
      <c r="C13" s="98">
        <f t="shared" ca="1" si="2"/>
        <v>11257.611000000003</v>
      </c>
      <c r="D13" s="113">
        <f t="shared" ca="1" si="1"/>
        <v>7030864.2179500004</v>
      </c>
      <c r="E13" s="96"/>
      <c r="F13" s="96" t="s">
        <v>40</v>
      </c>
      <c r="G13" s="115">
        <f t="shared" ca="1" si="0"/>
        <v>12700.855155608329</v>
      </c>
      <c r="I13" s="1135" t="s">
        <v>778</v>
      </c>
      <c r="J13" s="1135" t="s">
        <v>898</v>
      </c>
      <c r="L13" s="96" t="s">
        <v>899</v>
      </c>
      <c r="M13" s="415"/>
      <c r="N13" s="115">
        <f>DSUM('BD MERCADO'!A2:AAA999998,"Total",S37:S38)</f>
        <v>7069.4759000000013</v>
      </c>
      <c r="P13" s="1130" t="s">
        <v>874</v>
      </c>
      <c r="Q13" s="1131"/>
      <c r="S13" s="1130" t="s">
        <v>875</v>
      </c>
      <c r="T13" s="1131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4" t="s">
        <v>901</v>
      </c>
      <c r="J14" s="1145">
        <f>CAPA!D41</f>
        <v>16176.632</v>
      </c>
      <c r="L14" s="96" t="s">
        <v>902</v>
      </c>
      <c r="M14" s="415"/>
      <c r="N14" s="115">
        <f>DSUM('BD MERCADO'!A2:AAA999998,"Total",S39:S40)</f>
        <v>5111.8921499999997</v>
      </c>
      <c r="P14" s="1133">
        <f>DATE(YEAR(P16),MONTH(P16)-1,1)</f>
        <v>44621</v>
      </c>
      <c r="Q14" s="663"/>
      <c r="S14" s="662" t="s">
        <v>880</v>
      </c>
      <c r="T14" s="663" t="s">
        <v>879</v>
      </c>
      <c r="X14" s="97"/>
    </row>
    <row r="15" spans="2:24" ht="14.25">
      <c r="B15" s="112" t="s">
        <v>540</v>
      </c>
      <c r="C15" s="98">
        <f t="shared" ca="1" si="2"/>
        <v>6753.3220000000001</v>
      </c>
      <c r="D15" s="113">
        <f t="shared" ca="1" si="1"/>
        <v>4600843.3132000007</v>
      </c>
      <c r="E15" s="96"/>
      <c r="F15" s="96" t="s">
        <v>108</v>
      </c>
      <c r="G15" s="115">
        <f ca="1">SUM(C79:C84)</f>
        <v>5601476.3360112496</v>
      </c>
      <c r="I15" s="1146" t="s">
        <v>831</v>
      </c>
      <c r="J15" s="1147">
        <f ca="1">IFERROR(Mercado_RA0_MWh/J14-1,0)</f>
        <v>0.11339202128106796</v>
      </c>
      <c r="L15" s="1148" t="s">
        <v>903</v>
      </c>
      <c r="M15" s="1149"/>
      <c r="N15" s="1150">
        <f ca="1">D25-SUM(N8:N14)</f>
        <v>0</v>
      </c>
      <c r="P15" s="1130" t="s">
        <v>874</v>
      </c>
      <c r="Q15" s="1131"/>
      <c r="S15" s="1130" t="s">
        <v>904</v>
      </c>
      <c r="T15" s="1131" t="s">
        <v>876</v>
      </c>
      <c r="X15" s="97"/>
    </row>
    <row r="16" spans="2:24" ht="14.25">
      <c r="B16" s="1136" t="s">
        <v>905</v>
      </c>
      <c r="C16" s="1151">
        <f ca="1">DSUM(MercadoBase,"TUSD_E",INDIRECT("Mercado_CriterioResBr"))</f>
        <v>14.589000000000002</v>
      </c>
      <c r="D16" s="1152">
        <f ca="1">DSUM(MercadoBase,"Total",INDIRECT("Mercado_CriterioResBr"))</f>
        <v>9088.5093299999971</v>
      </c>
      <c r="E16" s="96"/>
      <c r="F16" s="96" t="s">
        <v>906</v>
      </c>
      <c r="G16" s="115">
        <f ca="1">SUM(C87:C97)</f>
        <v>4854653.6020612018</v>
      </c>
      <c r="P16" s="1133">
        <f>DATE(YEAR(P18),MONTH(P18)-1,1)</f>
        <v>44652</v>
      </c>
      <c r="Q16" s="663"/>
      <c r="S16" s="662" t="s">
        <v>907</v>
      </c>
      <c r="T16" s="663" t="s">
        <v>879</v>
      </c>
      <c r="X16" s="97"/>
    </row>
    <row r="17" spans="2:24" ht="14.25">
      <c r="B17" s="1136" t="s">
        <v>908</v>
      </c>
      <c r="C17" s="1151">
        <f ca="1">DSUM(MercadoBase,"TUSD_E",INDIRECT("Mercado_Criterio"&amp;$B17))</f>
        <v>0</v>
      </c>
      <c r="D17" s="1152">
        <f ca="1">DSUM(MercadoBase,"Total",INDIRECT("Mercado_Criterio"&amp;$B17))</f>
        <v>0</v>
      </c>
      <c r="E17" s="96"/>
      <c r="F17" s="1153" t="s">
        <v>760</v>
      </c>
      <c r="G17" s="1154">
        <f ca="1">SUM(G8:G16)</f>
        <v>11631693.126964308</v>
      </c>
      <c r="I17" s="226" t="str">
        <f>"Dado referente à "&amp;TEXT(P20,"mmmm/aaaa")</f>
        <v>Dado referente à junho/2022</v>
      </c>
      <c r="L17" s="79"/>
      <c r="P17" s="1130" t="s">
        <v>874</v>
      </c>
      <c r="Q17" s="1131"/>
      <c r="S17" s="1130" t="s">
        <v>876</v>
      </c>
      <c r="T17" s="1131"/>
      <c r="X17" s="97"/>
    </row>
    <row r="18" spans="2:24" ht="14.25">
      <c r="B18" s="1136" t="s">
        <v>909</v>
      </c>
      <c r="C18" s="1151">
        <f ca="1">DSUM(MercadoBase,"TUSD_E",INDIRECT("Mercado_Criterio"&amp;$B18))</f>
        <v>0</v>
      </c>
      <c r="D18" s="1152">
        <f ca="1">DSUM(MercadoBase,"Total",INDIRECT("Mercado_Criterio"&amp;$B18))</f>
        <v>0</v>
      </c>
      <c r="E18" s="96"/>
      <c r="I18" s="1155" t="s">
        <v>910</v>
      </c>
      <c r="J18" s="1156">
        <f>DSUM('BD MERCADO'!B2:BU724,"UC",C101:C102)</f>
        <v>1329</v>
      </c>
      <c r="L18" s="79"/>
      <c r="P18" s="1133">
        <f>DATE(YEAR(P20),MONTH(P20)-1,1)</f>
        <v>44682</v>
      </c>
      <c r="Q18" s="663"/>
      <c r="S18" s="662" t="s">
        <v>790</v>
      </c>
      <c r="T18" s="663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0" t="s">
        <v>874</v>
      </c>
      <c r="Q19" s="1131"/>
      <c r="S19" s="1130" t="s">
        <v>876</v>
      </c>
      <c r="T19" s="1131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3">
        <f>DATE(YEAR(P22),MONTH(P22)-1,1)</f>
        <v>44713</v>
      </c>
      <c r="Q20" s="663"/>
      <c r="S20" s="662" t="s">
        <v>909</v>
      </c>
      <c r="T20" s="663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0" t="s">
        <v>874</v>
      </c>
      <c r="Q21" s="1131"/>
      <c r="S21" s="1130" t="s">
        <v>876</v>
      </c>
      <c r="T21" s="1131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3">
        <f>DATE(YEAR(P24),MONTH(P24)-1,1)</f>
        <v>44743</v>
      </c>
      <c r="Q22" s="663"/>
      <c r="S22" s="662" t="s">
        <v>752</v>
      </c>
      <c r="T22" s="663"/>
      <c r="X22" s="97"/>
    </row>
    <row r="23" spans="2:24" ht="14.25">
      <c r="B23" s="1136" t="s">
        <v>915</v>
      </c>
      <c r="C23" s="1151">
        <v>0</v>
      </c>
      <c r="D23" s="1152">
        <v>0</v>
      </c>
      <c r="E23" s="615"/>
      <c r="F23" s="617"/>
      <c r="G23" s="618"/>
      <c r="L23" s="79"/>
      <c r="M23" s="100"/>
      <c r="N23" s="97"/>
      <c r="O23" s="97"/>
      <c r="P23" s="1130" t="s">
        <v>874</v>
      </c>
      <c r="Q23" s="1131"/>
      <c r="S23" s="1130" t="s">
        <v>876</v>
      </c>
      <c r="T23" s="1131"/>
      <c r="X23" s="97"/>
    </row>
    <row r="24" spans="2:24" ht="14.25">
      <c r="B24" s="1136" t="s">
        <v>916</v>
      </c>
      <c r="C24" s="1157"/>
      <c r="D24" s="1158"/>
      <c r="E24" s="615"/>
      <c r="F24" s="617"/>
      <c r="G24" s="618"/>
      <c r="L24" s="79"/>
      <c r="P24" s="1133">
        <f>SAS_RA0_DataFim</f>
        <v>44774</v>
      </c>
      <c r="Q24" s="663"/>
      <c r="S24" s="662" t="s">
        <v>913</v>
      </c>
      <c r="T24" s="663"/>
      <c r="X24" s="97"/>
    </row>
    <row r="25" spans="2:24" ht="14.25">
      <c r="B25" s="1159" t="s">
        <v>760</v>
      </c>
      <c r="C25" s="1160">
        <f ca="1">C18+C8+C24+C20+C21+SuprimentoE</f>
        <v>18010.933000000005</v>
      </c>
      <c r="D25" s="1161">
        <f ca="1">D18+D8+D24+D20+D21+D17</f>
        <v>11631707.531150002</v>
      </c>
      <c r="E25" s="615"/>
      <c r="N25" s="69">
        <f>SUMIFS('BD MERCADO'!$P$3:$P$6000,'BD MERCADO'!$D$3:$D$6000,"A4",'BD MERCADO'!$I$3:$I$6000,U10)</f>
        <v>917.56699999999989</v>
      </c>
      <c r="S25" s="101" t="s">
        <v>876</v>
      </c>
      <c r="T25" s="102"/>
      <c r="X25" s="97"/>
    </row>
    <row r="26" spans="2:24" ht="14.25">
      <c r="F26" s="617"/>
      <c r="G26" s="618"/>
      <c r="S26" s="662" t="s">
        <v>917</v>
      </c>
      <c r="T26" s="663"/>
      <c r="X26" s="97"/>
    </row>
    <row r="27" spans="2:24" ht="14.25">
      <c r="F27" s="617"/>
      <c r="G27" s="618"/>
      <c r="I27" s="97"/>
      <c r="S27" s="1162" t="s">
        <v>524</v>
      </c>
      <c r="T27" s="1163"/>
      <c r="X27" s="97"/>
    </row>
    <row r="28" spans="2:24" ht="14.25">
      <c r="F28" s="226"/>
      <c r="G28" s="619"/>
      <c r="I28" s="97"/>
      <c r="S28" s="1164" t="s">
        <v>889</v>
      </c>
      <c r="T28" s="1165"/>
      <c r="X28" s="97"/>
    </row>
    <row r="29" spans="2:24" ht="14.25">
      <c r="I29" s="97"/>
      <c r="S29" s="1162" t="s">
        <v>524</v>
      </c>
      <c r="T29" s="1163"/>
    </row>
    <row r="30" spans="2:24" ht="14.25">
      <c r="I30" s="97"/>
      <c r="S30" s="1164" t="s">
        <v>890</v>
      </c>
      <c r="T30" s="1165"/>
    </row>
    <row r="31" spans="2:24" ht="16.5">
      <c r="B31"/>
      <c r="C31"/>
      <c r="H31" s="97"/>
      <c r="I31" s="97"/>
      <c r="S31" s="1162" t="s">
        <v>524</v>
      </c>
      <c r="T31" s="1163"/>
      <c r="X31" s="97"/>
    </row>
    <row r="32" spans="2:24" ht="14.25">
      <c r="H32" s="97"/>
      <c r="I32" s="97"/>
      <c r="S32" s="1164" t="s">
        <v>918</v>
      </c>
      <c r="T32" s="1165"/>
      <c r="X32" s="97"/>
    </row>
    <row r="33" spans="2:24" ht="16.5">
      <c r="B33" s="1787" t="s">
        <v>919</v>
      </c>
      <c r="C33" s="1788" t="s">
        <v>920</v>
      </c>
      <c r="D33"/>
      <c r="S33" s="1162" t="s">
        <v>524</v>
      </c>
      <c r="T33" s="1163"/>
      <c r="X33" s="97"/>
    </row>
    <row r="34" spans="2:24" ht="16.5">
      <c r="B34" s="1789">
        <v>44440</v>
      </c>
      <c r="C34" s="1790">
        <v>1414.837</v>
      </c>
      <c r="D34"/>
      <c r="S34" s="1164" t="s">
        <v>894</v>
      </c>
      <c r="T34" s="1165"/>
      <c r="X34" s="97"/>
    </row>
    <row r="35" spans="2:24" ht="16.5">
      <c r="B35" s="1789">
        <v>44470</v>
      </c>
      <c r="C35" s="1790">
        <v>1433.152</v>
      </c>
      <c r="D35"/>
      <c r="S35" s="1162" t="s">
        <v>524</v>
      </c>
      <c r="T35" s="1163"/>
    </row>
    <row r="36" spans="2:24" ht="16.5">
      <c r="B36" s="1789">
        <v>44501</v>
      </c>
      <c r="C36" s="1790">
        <v>1568.3020000000001</v>
      </c>
      <c r="D36"/>
      <c r="M36" s="97"/>
      <c r="S36" s="1164" t="s">
        <v>896</v>
      </c>
      <c r="T36" s="1165"/>
    </row>
    <row r="37" spans="2:24" ht="16.5">
      <c r="B37" s="1789">
        <v>44531</v>
      </c>
      <c r="C37" s="1790">
        <v>1511.442</v>
      </c>
      <c r="D37"/>
      <c r="M37" s="97"/>
      <c r="S37" s="1162" t="s">
        <v>524</v>
      </c>
      <c r="T37" s="1163"/>
    </row>
    <row r="38" spans="2:24" ht="16.5">
      <c r="B38" s="1789">
        <v>44562</v>
      </c>
      <c r="C38" s="1790">
        <v>1620.0319999999997</v>
      </c>
      <c r="D38"/>
      <c r="M38" s="97"/>
      <c r="S38" s="1164" t="s">
        <v>899</v>
      </c>
      <c r="T38" s="1165"/>
    </row>
    <row r="39" spans="2:24" ht="16.5">
      <c r="B39" s="1789">
        <v>44593</v>
      </c>
      <c r="C39" s="1790">
        <v>1357.6620000000003</v>
      </c>
      <c r="D39"/>
      <c r="S39" s="1162" t="s">
        <v>524</v>
      </c>
      <c r="T39" s="1163"/>
    </row>
    <row r="40" spans="2:24" ht="16.5">
      <c r="B40" s="1789">
        <v>44621</v>
      </c>
      <c r="C40" s="1790">
        <v>1559.3339999999998</v>
      </c>
      <c r="D40"/>
      <c r="S40" s="1164" t="s">
        <v>921</v>
      </c>
      <c r="T40" s="1165"/>
    </row>
    <row r="41" spans="2:24" ht="16.5">
      <c r="B41" s="1789">
        <v>44652</v>
      </c>
      <c r="C41" s="1790">
        <v>1468.4359999999997</v>
      </c>
      <c r="D41"/>
      <c r="N41" s="97"/>
      <c r="O41" s="97"/>
      <c r="P41" s="97"/>
      <c r="Q41" s="97"/>
      <c r="R41" s="97"/>
      <c r="S41" s="1162" t="s">
        <v>524</v>
      </c>
      <c r="T41" s="1163"/>
    </row>
    <row r="42" spans="2:24" ht="16.5">
      <c r="B42" s="1789">
        <v>44682</v>
      </c>
      <c r="C42" s="1790">
        <v>1543.6909999999996</v>
      </c>
      <c r="D42"/>
      <c r="N42" s="97"/>
      <c r="O42" s="97"/>
      <c r="P42" s="97"/>
      <c r="Q42" s="97"/>
      <c r="R42" s="97"/>
      <c r="S42" s="1164" t="s">
        <v>922</v>
      </c>
      <c r="T42" s="1165"/>
    </row>
    <row r="43" spans="2:24" ht="16.5">
      <c r="B43" s="1789">
        <v>44713</v>
      </c>
      <c r="C43" s="1790">
        <v>1467.1499999999999</v>
      </c>
      <c r="D43"/>
      <c r="N43" s="97"/>
      <c r="O43" s="97"/>
      <c r="P43" s="97"/>
      <c r="Q43" s="97"/>
      <c r="R43" s="97"/>
      <c r="S43" s="1130" t="s">
        <v>875</v>
      </c>
      <c r="T43" s="1131" t="s">
        <v>876</v>
      </c>
    </row>
    <row r="44" spans="2:24" ht="16.5">
      <c r="B44" s="1789">
        <v>44743</v>
      </c>
      <c r="C44" s="1790">
        <v>1512.5160000000001</v>
      </c>
      <c r="D44"/>
      <c r="S44" s="662" t="s">
        <v>538</v>
      </c>
      <c r="T44" s="663" t="s">
        <v>909</v>
      </c>
    </row>
    <row r="45" spans="2:24" ht="16.5">
      <c r="B45" s="1789">
        <v>44774</v>
      </c>
      <c r="C45" s="1790">
        <v>1554.3790000000001</v>
      </c>
      <c r="D45"/>
      <c r="S45" s="1130" t="s">
        <v>875</v>
      </c>
      <c r="T45" s="1131" t="s">
        <v>876</v>
      </c>
    </row>
    <row r="46" spans="2:24" ht="16.5">
      <c r="B46" s="1789" t="s">
        <v>923</v>
      </c>
      <c r="C46" s="1790">
        <v>18010.932999999997</v>
      </c>
      <c r="D46"/>
      <c r="S46" s="662" t="s">
        <v>535</v>
      </c>
      <c r="T46" s="663" t="s">
        <v>909</v>
      </c>
    </row>
    <row r="47" spans="2:24" ht="16.5">
      <c r="B47"/>
      <c r="C47"/>
      <c r="D47"/>
      <c r="S47" s="1130" t="s">
        <v>875</v>
      </c>
      <c r="T47" s="1131" t="s">
        <v>876</v>
      </c>
    </row>
    <row r="48" spans="2:24" ht="16.5">
      <c r="B48"/>
      <c r="C48"/>
      <c r="D48"/>
      <c r="S48" s="662" t="s">
        <v>537</v>
      </c>
      <c r="T48" s="663" t="s">
        <v>909</v>
      </c>
    </row>
    <row r="49" spans="2:21" ht="16.5">
      <c r="B49"/>
      <c r="C49"/>
      <c r="D49"/>
      <c r="S49" s="1130" t="s">
        <v>875</v>
      </c>
      <c r="T49" s="1131" t="s">
        <v>876</v>
      </c>
    </row>
    <row r="50" spans="2:21" ht="16.5">
      <c r="B50"/>
      <c r="C50"/>
      <c r="D50"/>
      <c r="S50" s="662" t="s">
        <v>533</v>
      </c>
      <c r="T50" s="663" t="s">
        <v>909</v>
      </c>
    </row>
    <row r="51" spans="2:21" ht="16.5">
      <c r="B51"/>
      <c r="C51"/>
      <c r="S51" s="1130" t="s">
        <v>875</v>
      </c>
      <c r="T51" s="1131" t="s">
        <v>876</v>
      </c>
    </row>
    <row r="52" spans="2:21" ht="16.5">
      <c r="B52"/>
      <c r="C52"/>
      <c r="S52" s="662" t="s">
        <v>880</v>
      </c>
      <c r="T52" s="663" t="s">
        <v>909</v>
      </c>
    </row>
    <row r="53" spans="2:21" ht="16.5">
      <c r="B53"/>
      <c r="C53"/>
      <c r="S53" s="1130" t="s">
        <v>875</v>
      </c>
      <c r="T53" s="1131" t="s">
        <v>876</v>
      </c>
    </row>
    <row r="54" spans="2:21" ht="14.25">
      <c r="S54" s="662" t="s">
        <v>897</v>
      </c>
      <c r="T54" s="663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6" t="s">
        <v>925</v>
      </c>
      <c r="C62" s="1166"/>
      <c r="D62" s="1166" t="s">
        <v>888</v>
      </c>
      <c r="E62" s="1166" t="s">
        <v>49</v>
      </c>
      <c r="F62" s="1166" t="s">
        <v>891</v>
      </c>
      <c r="G62" s="1166" t="s">
        <v>47</v>
      </c>
      <c r="H62" s="1166" t="s">
        <v>41</v>
      </c>
      <c r="I62" s="1166" t="s">
        <v>40</v>
      </c>
      <c r="J62" s="1166" t="s">
        <v>112</v>
      </c>
      <c r="K62" s="1166" t="s">
        <v>926</v>
      </c>
      <c r="L62" s="1166" t="s">
        <v>927</v>
      </c>
      <c r="M62" s="1166" t="s">
        <v>928</v>
      </c>
      <c r="N62" s="1166" t="s">
        <v>929</v>
      </c>
      <c r="O62" s="1166" t="s">
        <v>930</v>
      </c>
      <c r="P62" s="1166" t="s">
        <v>931</v>
      </c>
      <c r="Q62" s="1166" t="s">
        <v>932</v>
      </c>
      <c r="R62" s="1166" t="s">
        <v>933</v>
      </c>
      <c r="S62" s="1166" t="s">
        <v>2027</v>
      </c>
      <c r="T62" s="1166" t="s">
        <v>1053</v>
      </c>
      <c r="U62" s="1166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13169.214498573365</v>
      </c>
      <c r="H63" s="103">
        <f t="shared" ca="1" si="4"/>
        <v>78224.095701183949</v>
      </c>
      <c r="I63" s="103">
        <f t="shared" ca="1" si="4"/>
        <v>997.85033298285941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29.442351000000055</v>
      </c>
      <c r="O63" s="103">
        <f t="shared" ca="1" si="4"/>
        <v>33343.169499999996</v>
      </c>
      <c r="P63" s="103">
        <f t="shared" ca="1" si="4"/>
        <v>2.4169800000000001</v>
      </c>
      <c r="Q63" s="103">
        <f t="shared" ca="1" si="4"/>
        <v>55.292639999999999</v>
      </c>
      <c r="R63" s="103">
        <f t="shared" ca="1" si="4"/>
        <v>232194.39252510763</v>
      </c>
      <c r="S63" s="103">
        <f ca="1">DSUM(MercadoBase,S$62,INDIRECT("P"&amp;5+2*(ROW()-65)&amp;":P"&amp;6+2*(ROW()-65)))</f>
        <v>0</v>
      </c>
      <c r="T63" s="103">
        <f t="shared" ca="1" si="4"/>
        <v>-120041.25781657481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13338.152856714665</v>
      </c>
      <c r="H64" s="103">
        <f t="shared" ca="1" si="4"/>
        <v>79236.155167510311</v>
      </c>
      <c r="I64" s="103">
        <f t="shared" ca="1" si="4"/>
        <v>1010.9434332075907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25.388961000000023</v>
      </c>
      <c r="O64" s="103">
        <f t="shared" ca="1" si="4"/>
        <v>33998.999899999988</v>
      </c>
      <c r="P64" s="103">
        <f t="shared" ca="1" si="4"/>
        <v>6.0424499999999988</v>
      </c>
      <c r="Q64" s="103">
        <f t="shared" ca="1" si="4"/>
        <v>54.759929999999997</v>
      </c>
      <c r="R64" s="103">
        <f t="shared" ca="1" si="4"/>
        <v>232859.69019881386</v>
      </c>
      <c r="S64" s="103">
        <f t="shared" ca="1" si="4"/>
        <v>0</v>
      </c>
      <c r="T64" s="103">
        <f t="shared" ca="1" si="4"/>
        <v>-120385.20742149693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14605.471669396577</v>
      </c>
      <c r="H65" s="103">
        <f t="shared" ca="1" si="4"/>
        <v>87175.405572430391</v>
      </c>
      <c r="I65" s="103">
        <f t="shared" ca="1" si="4"/>
        <v>1122.1451493646107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30.879461999999993</v>
      </c>
      <c r="O65" s="103">
        <f t="shared" ca="1" si="4"/>
        <v>40884.412649999998</v>
      </c>
      <c r="P65" s="103">
        <f t="shared" ca="1" si="4"/>
        <v>6.0424499999999988</v>
      </c>
      <c r="Q65" s="103">
        <f t="shared" ca="1" si="4"/>
        <v>87.360249999999994</v>
      </c>
      <c r="R65" s="103">
        <f t="shared" ca="1" si="4"/>
        <v>256701.33663089079</v>
      </c>
      <c r="S65" s="103">
        <f t="shared" ca="1" si="4"/>
        <v>0</v>
      </c>
      <c r="T65" s="103">
        <f t="shared" ca="1" si="4"/>
        <v>-132711.00562446212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14069.65369845352</v>
      </c>
      <c r="H66" s="103">
        <f t="shared" ca="1" si="4"/>
        <v>83674.858533082544</v>
      </c>
      <c r="I66" s="103">
        <f t="shared" ca="1" si="4"/>
        <v>1069.9745478789589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29.000163000000022</v>
      </c>
      <c r="O66" s="103">
        <f t="shared" ca="1" si="4"/>
        <v>36450.360699999983</v>
      </c>
      <c r="P66" s="103">
        <f t="shared" ca="1" si="4"/>
        <v>0</v>
      </c>
      <c r="Q66" s="103">
        <f t="shared" ca="1" si="4"/>
        <v>87.360249999999994</v>
      </c>
      <c r="R66" s="103">
        <f t="shared" ca="1" si="4"/>
        <v>255901.59140509396</v>
      </c>
      <c r="S66" s="103">
        <f t="shared" ca="1" si="4"/>
        <v>0</v>
      </c>
      <c r="T66" s="103">
        <f t="shared" ca="1" si="4"/>
        <v>-132297.5485129728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15085.931122993296</v>
      </c>
      <c r="H67" s="103">
        <f t="shared" ca="1" si="4"/>
        <v>90093.559815983448</v>
      </c>
      <c r="I67" s="103">
        <f t="shared" ca="1" si="4"/>
        <v>1161.007907550759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29.552898000000031</v>
      </c>
      <c r="O67" s="103">
        <f t="shared" ca="1" si="4"/>
        <v>42113.689799999993</v>
      </c>
      <c r="P67" s="103">
        <f t="shared" ca="1" si="4"/>
        <v>0</v>
      </c>
      <c r="Q67" s="103">
        <f t="shared" ca="1" si="4"/>
        <v>91.781659999999988</v>
      </c>
      <c r="R67" s="103">
        <f t="shared" ca="1" si="4"/>
        <v>269101.11655447766</v>
      </c>
      <c r="S67" s="103">
        <f t="shared" ca="1" si="4"/>
        <v>0</v>
      </c>
      <c r="T67" s="103">
        <f t="shared" ca="1" si="4"/>
        <v>-139121.51865403558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12628.788862293164</v>
      </c>
      <c r="H68" s="103">
        <f t="shared" ca="1" si="4"/>
        <v>75411.884505293347</v>
      </c>
      <c r="I68" s="103">
        <f t="shared" ca="1" si="4"/>
        <v>972.4028730040834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26.199639000000019</v>
      </c>
      <c r="O68" s="103">
        <f t="shared" ca="1" si="4"/>
        <v>34875.552049999991</v>
      </c>
      <c r="P68" s="103">
        <f t="shared" ca="1" si="4"/>
        <v>2.0141499999999999</v>
      </c>
      <c r="Q68" s="103">
        <f t="shared" ca="1" si="4"/>
        <v>181.91194999999999</v>
      </c>
      <c r="R68" s="103">
        <f t="shared" ca="1" si="4"/>
        <v>245784.42287206839</v>
      </c>
      <c r="S68" s="103">
        <f t="shared" ca="1" si="4"/>
        <v>0</v>
      </c>
      <c r="T68" s="103">
        <f t="shared" ca="1" si="4"/>
        <v>-127067.11369049821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14506.004385033873</v>
      </c>
      <c r="H69" s="103">
        <f t="shared" ca="1" si="4"/>
        <v>86001.397923113327</v>
      </c>
      <c r="I69" s="103">
        <f t="shared" ca="1" si="4"/>
        <v>1094.4944559259895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23.325417000000009</v>
      </c>
      <c r="O69" s="103">
        <f t="shared" ca="1" si="4"/>
        <v>35456.184949999995</v>
      </c>
      <c r="P69" s="103">
        <f t="shared" ca="1" si="4"/>
        <v>1.2084900000000001</v>
      </c>
      <c r="Q69" s="103">
        <f t="shared" ca="1" si="4"/>
        <v>264.74479000000002</v>
      </c>
      <c r="R69" s="103">
        <f t="shared" ca="1" si="4"/>
        <v>253771.50674978495</v>
      </c>
      <c r="S69" s="103">
        <f t="shared" ca="1" si="4"/>
        <v>0</v>
      </c>
      <c r="T69" s="103">
        <f t="shared" ca="1" si="4"/>
        <v>-131196.32449761924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13659.13667427188</v>
      </c>
      <c r="H70" s="103">
        <f t="shared" ca="1" si="4"/>
        <v>80899.755588276341</v>
      </c>
      <c r="I70" s="103">
        <f t="shared" ca="1" si="4"/>
        <v>1027.5487097724445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11.386341000000002</v>
      </c>
      <c r="O70" s="103">
        <f t="shared" ca="1" si="4"/>
        <v>32676.061399999999</v>
      </c>
      <c r="P70" s="103">
        <f t="shared" ca="1" si="4"/>
        <v>1.6113200000000001</v>
      </c>
      <c r="Q70" s="103">
        <f t="shared" ca="1" si="4"/>
        <v>244.18326000000002</v>
      </c>
      <c r="R70" s="103">
        <f t="shared" ca="1" si="4"/>
        <v>239589.37250693576</v>
      </c>
      <c r="S70" s="103">
        <f t="shared" ca="1" si="4"/>
        <v>0</v>
      </c>
      <c r="T70" s="103">
        <f t="shared" ca="1" si="4"/>
        <v>-123864.35917958921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14360.418278306381</v>
      </c>
      <c r="H71" s="103">
        <f t="shared" ca="1" si="4"/>
        <v>84965.394443085577</v>
      </c>
      <c r="I71" s="103">
        <f t="shared" ca="1" si="4"/>
        <v>1077.1246961824795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11.754830999999994</v>
      </c>
      <c r="O71" s="103">
        <f t="shared" ca="1" si="4"/>
        <v>33501.181499999992</v>
      </c>
      <c r="P71" s="103">
        <f t="shared" ca="1" si="4"/>
        <v>0</v>
      </c>
      <c r="Q71" s="103">
        <f t="shared" ca="1" si="4"/>
        <v>247.21962000000002</v>
      </c>
      <c r="R71" s="103">
        <f t="shared" ca="1" si="4"/>
        <v>247687.496031066</v>
      </c>
      <c r="S71" s="103">
        <f t="shared" ca="1" si="4"/>
        <v>0</v>
      </c>
      <c r="T71" s="103">
        <f t="shared" ca="1" si="4"/>
        <v>-128050.9759329868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13642.400269366153</v>
      </c>
      <c r="H72" s="103">
        <f t="shared" ca="1" si="4"/>
        <v>80779.983393777846</v>
      </c>
      <c r="I72" s="103">
        <f t="shared" ca="1" si="4"/>
        <v>1025.9834449322755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12.012774000000013</v>
      </c>
      <c r="O72" s="103">
        <f t="shared" ca="1" si="4"/>
        <v>32195.550199999991</v>
      </c>
      <c r="P72" s="103">
        <f t="shared" ca="1" si="4"/>
        <v>0</v>
      </c>
      <c r="Q72" s="103">
        <f t="shared" ca="1" si="4"/>
        <v>243.43759</v>
      </c>
      <c r="R72" s="103">
        <f t="shared" ca="1" si="4"/>
        <v>241792.05045482772</v>
      </c>
      <c r="S72" s="103">
        <f t="shared" ca="1" si="4"/>
        <v>0</v>
      </c>
      <c r="T72" s="103">
        <f t="shared" ca="1" si="4"/>
        <v>-125003.11291327895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14066.872419071649</v>
      </c>
      <c r="H73" s="103">
        <f t="shared" ca="1" si="4"/>
        <v>83209.785585708989</v>
      </c>
      <c r="I73" s="103">
        <f t="shared" ca="1" si="4"/>
        <v>1054.4439681911624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23.657057999999999</v>
      </c>
      <c r="O73" s="103">
        <f t="shared" ca="1" si="4"/>
        <v>32828.485799999995</v>
      </c>
      <c r="P73" s="103">
        <f t="shared" ca="1" si="4"/>
        <v>0</v>
      </c>
      <c r="Q73" s="103">
        <f t="shared" ca="1" si="4"/>
        <v>245.35523000000001</v>
      </c>
      <c r="R73" s="103">
        <f t="shared" ca="1" si="4"/>
        <v>243942.94309922229</v>
      </c>
      <c r="S73" s="103">
        <f t="shared" ca="1" si="4"/>
        <v>0</v>
      </c>
      <c r="T73" s="103">
        <f t="shared" ca="1" si="4"/>
        <v>-126115.09436835918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14456.860640214676</v>
      </c>
      <c r="H74" s="103">
        <f t="shared" ca="1" si="4"/>
        <v>85601.152132114512</v>
      </c>
      <c r="I74" s="103">
        <f t="shared" ca="1" si="4"/>
        <v>1086.935636615123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19.235178000000008</v>
      </c>
      <c r="O74" s="103">
        <f t="shared" ca="1" si="4"/>
        <v>34210.729299999992</v>
      </c>
      <c r="P74" s="103">
        <f t="shared" ca="1" si="4"/>
        <v>0</v>
      </c>
      <c r="Q74" s="103">
        <f t="shared" ca="1" si="4"/>
        <v>247.75232999999997</v>
      </c>
      <c r="R74" s="103">
        <f t="shared" ca="1" si="4"/>
        <v>258909.45645870519</v>
      </c>
      <c r="S74" s="103">
        <f t="shared" ca="1" si="4"/>
        <v>0</v>
      </c>
      <c r="T74" s="103">
        <f t="shared" ca="1" si="4"/>
        <v>-133852.57273406355</v>
      </c>
      <c r="U74" s="103">
        <f t="shared" ca="1" si="4"/>
        <v>0</v>
      </c>
    </row>
    <row r="75" spans="2:21" ht="14.25">
      <c r="B75" s="1167" t="s">
        <v>934</v>
      </c>
      <c r="C75" s="1168"/>
      <c r="D75" s="1168">
        <f t="shared" ref="D75:Q75" ca="1" si="5">SUM(D63:D74)</f>
        <v>0</v>
      </c>
      <c r="E75" s="1168">
        <f t="shared" ca="1" si="5"/>
        <v>0</v>
      </c>
      <c r="F75" s="1168">
        <f t="shared" ca="1" si="5"/>
        <v>0</v>
      </c>
      <c r="G75" s="1168">
        <f t="shared" ca="1" si="5"/>
        <v>167588.9053746892</v>
      </c>
      <c r="H75" s="1168">
        <f t="shared" ca="1" si="5"/>
        <v>995273.42836156057</v>
      </c>
      <c r="I75" s="1168">
        <f t="shared" ca="1" si="5"/>
        <v>12700.855155608337</v>
      </c>
      <c r="J75" s="1168">
        <f t="shared" ca="1" si="5"/>
        <v>0</v>
      </c>
      <c r="K75" s="1168">
        <f t="shared" ca="1" si="5"/>
        <v>0</v>
      </c>
      <c r="L75" s="1168">
        <f t="shared" ca="1" si="5"/>
        <v>0</v>
      </c>
      <c r="M75" s="1168">
        <f t="shared" ca="1" si="5"/>
        <v>0</v>
      </c>
      <c r="N75" s="1168">
        <f t="shared" ca="1" si="5"/>
        <v>271.83507300000019</v>
      </c>
      <c r="O75" s="1168">
        <f t="shared" ca="1" si="5"/>
        <v>422534.37774999999</v>
      </c>
      <c r="P75" s="1168">
        <f t="shared" ca="1" si="5"/>
        <v>19.335839999999997</v>
      </c>
      <c r="Q75" s="1168">
        <f t="shared" ca="1" si="5"/>
        <v>2051.1594999999998</v>
      </c>
      <c r="R75" s="1168">
        <f t="shared" ref="R75:S75" ca="1" si="6">SUM(R63:R74)</f>
        <v>2978235.3754869937</v>
      </c>
      <c r="S75" s="1168">
        <f t="shared" ca="1" si="6"/>
        <v>0</v>
      </c>
      <c r="T75" s="1168">
        <f t="shared" ref="T75:U75" ca="1" si="7">SUM(T63:T74)</f>
        <v>-1539706.091345937</v>
      </c>
      <c r="U75" s="1168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69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0" t="s">
        <v>937</v>
      </c>
      <c r="C79" s="1171">
        <f t="shared" ref="C79:C84" ca="1" si="8">SUM(INDIRECT("dados_MercadoBase["&amp;B79&amp;"]"))</f>
        <v>5328835.5224369541</v>
      </c>
      <c r="J79" s="94" t="s">
        <v>938</v>
      </c>
      <c r="K79" s="1172"/>
      <c r="L79" s="1172"/>
      <c r="M79" s="1172">
        <f>SUMIFS(M63:M74,$B$63:$B$74,42826)</f>
        <v>0</v>
      </c>
      <c r="N79" s="1172">
        <f>SUMIFS(N63:N74,$B$63:$B$74,42826)</f>
        <v>0</v>
      </c>
      <c r="O79" s="1172">
        <f>SUMIFS(O63:O74,$B$63:$B$74,42826)</f>
        <v>0</v>
      </c>
      <c r="P79" s="1172">
        <f>SUMIFS(P63:P74,$B$63:$B$74,42826)</f>
        <v>0</v>
      </c>
      <c r="Q79" s="1172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272640.81357429508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3"/>
      <c r="C85" s="1174"/>
    </row>
    <row r="86" spans="2:13" ht="14.25"/>
    <row r="87" spans="2:13" ht="14.25">
      <c r="B87" s="1170" t="s">
        <v>943</v>
      </c>
      <c r="C87" s="1171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1876418.2265742095</v>
      </c>
      <c r="E96" s="105"/>
      <c r="G96" s="105"/>
    </row>
    <row r="97" spans="1:7" ht="14.25">
      <c r="B97" s="1173" t="s">
        <v>953</v>
      </c>
      <c r="C97" s="1174">
        <f t="shared" ca="1" si="9"/>
        <v>2978235.3754869923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2" t="s">
        <v>955</v>
      </c>
      <c r="C101" s="1163" t="s">
        <v>874</v>
      </c>
      <c r="D101" s="230"/>
    </row>
    <row r="102" spans="1:7" ht="12.75" customHeight="1">
      <c r="A102" s="230"/>
      <c r="B102" s="1164" t="s">
        <v>956</v>
      </c>
      <c r="C102" s="1175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4" t="s">
        <v>778</v>
      </c>
      <c r="C111" s="1134" t="s">
        <v>108</v>
      </c>
      <c r="D111" s="1134" t="s">
        <v>884</v>
      </c>
    </row>
    <row r="112" spans="1:7" ht="12.75" customHeight="1">
      <c r="B112" s="1136" t="s">
        <v>909</v>
      </c>
      <c r="C112" s="1137"/>
      <c r="D112" s="1138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59" t="s">
        <v>769</v>
      </c>
      <c r="C120" s="1160">
        <f ca="1">SUM(C114:C119)</f>
        <v>0</v>
      </c>
      <c r="D120" s="1161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213" activePane="bottomLeft" state="frozen"/>
      <selection pane="bottomLeft" activeCell="G2" sqref="G2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2027</v>
      </c>
      <c r="EQ2" s="261" t="s">
        <v>2028</v>
      </c>
      <c r="ER2" s="261" t="s">
        <v>2029</v>
      </c>
      <c r="ES2" s="261" t="s">
        <v>2030</v>
      </c>
      <c r="ET2" s="261" t="s">
        <v>2031</v>
      </c>
      <c r="EU2" s="261" t="s">
        <v>2032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1821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2326</v>
      </c>
      <c r="K3" s="788">
        <v>44440</v>
      </c>
      <c r="L3" s="399">
        <v>0</v>
      </c>
      <c r="M3" s="399">
        <v>0</v>
      </c>
      <c r="N3" s="399">
        <v>38.773000000000003</v>
      </c>
      <c r="O3" s="399">
        <v>38.773000000000003</v>
      </c>
      <c r="P3" s="399">
        <v>38.773000000000003</v>
      </c>
      <c r="Q3" s="399">
        <v>38.773000000000003</v>
      </c>
      <c r="R3" s="399"/>
      <c r="S3" s="399">
        <v>395.23</v>
      </c>
      <c r="T3" s="399">
        <v>297.72000000000003</v>
      </c>
      <c r="U3" s="399"/>
      <c r="V3" s="399">
        <v>26867.750350000002</v>
      </c>
      <c r="W3" s="399">
        <v>26867.750350000002</v>
      </c>
      <c r="X3" s="399">
        <v>23812.43795</v>
      </c>
      <c r="Y3" s="399">
        <v>0</v>
      </c>
      <c r="Z3" s="399">
        <v>2350.0942771425225</v>
      </c>
      <c r="AA3" s="399">
        <v>0</v>
      </c>
      <c r="AB3" s="399">
        <v>0</v>
      </c>
      <c r="AC3" s="399">
        <v>0</v>
      </c>
      <c r="AD3" s="399">
        <v>3853.9393906618998</v>
      </c>
      <c r="AE3" s="399">
        <v>7760.21460191596</v>
      </c>
      <c r="AF3" s="399">
        <v>11543.647106537504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363.3374173625827</v>
      </c>
      <c r="AM3" s="399"/>
      <c r="AN3" s="399">
        <v>34.522972684957715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962.10560467204175</v>
      </c>
      <c r="BH3" s="399">
        <v>0</v>
      </c>
      <c r="BI3" s="399">
        <v>0.25</v>
      </c>
      <c r="BJ3" s="399">
        <v>1.19</v>
      </c>
      <c r="BK3" s="399">
        <v>5237.29</v>
      </c>
      <c r="BL3" s="399">
        <v>263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12505.752711209547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23810.595500000003</v>
      </c>
      <c r="CJ3" s="399">
        <v>-3057.1848500000015</v>
      </c>
      <c r="CK3" s="399"/>
      <c r="CL3" s="399"/>
      <c r="CM3" s="399"/>
      <c r="CN3" s="399"/>
      <c r="CO3" s="399">
        <v>-3550.831340000002</v>
      </c>
      <c r="CP3" s="399">
        <v>495.51893999999896</v>
      </c>
      <c r="CQ3" s="399">
        <v>30</v>
      </c>
      <c r="CR3" s="399">
        <v>956.29620880374932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-29.700572021264179</v>
      </c>
      <c r="DA3" s="399">
        <v>0</v>
      </c>
      <c r="DB3" s="399">
        <v>0</v>
      </c>
      <c r="DC3" s="399">
        <v>495.34232058696398</v>
      </c>
      <c r="DD3" s="399">
        <v>0</v>
      </c>
      <c r="DE3" s="399">
        <v>0</v>
      </c>
      <c r="DF3" s="399">
        <v>0</v>
      </c>
      <c r="DG3" s="399">
        <v>41.284320151995644</v>
      </c>
      <c r="DH3" s="399">
        <v>0</v>
      </c>
      <c r="DI3" s="399">
        <v>392.34094862639131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52.91396029248682</v>
      </c>
      <c r="DP3" s="399">
        <v>4.1152311671717285</v>
      </c>
      <c r="DQ3" s="399">
        <v>0</v>
      </c>
      <c r="DR3" s="399">
        <v>0</v>
      </c>
      <c r="DS3" s="399"/>
      <c r="DT3" s="399"/>
      <c r="DU3" s="399"/>
      <c r="DV3" s="399">
        <v>7760.21460191596</v>
      </c>
      <c r="DW3" s="399">
        <v>0</v>
      </c>
      <c r="DX3" s="399">
        <v>0</v>
      </c>
      <c r="DY3" s="399">
        <v>-3550.8313400000025</v>
      </c>
      <c r="DZ3" s="399">
        <v>495.51893999999993</v>
      </c>
      <c r="EA3" s="399">
        <v>0</v>
      </c>
      <c r="EB3" s="399">
        <v>0</v>
      </c>
      <c r="EC3" s="399">
        <v>-4011.9225602737756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232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956</v>
      </c>
      <c r="C4" s="399" t="s">
        <v>2328</v>
      </c>
      <c r="D4" s="399" t="s">
        <v>1821</v>
      </c>
      <c r="E4" s="399" t="s">
        <v>889</v>
      </c>
      <c r="F4" s="399" t="s">
        <v>2331</v>
      </c>
      <c r="G4" s="399" t="s">
        <v>1239</v>
      </c>
      <c r="H4" s="399" t="s">
        <v>1239</v>
      </c>
      <c r="I4" s="399" t="s">
        <v>1239</v>
      </c>
      <c r="J4" s="399" t="s">
        <v>2326</v>
      </c>
      <c r="K4" s="788">
        <v>44440</v>
      </c>
      <c r="L4" s="399">
        <v>0</v>
      </c>
      <c r="M4" s="399">
        <v>0</v>
      </c>
      <c r="N4" s="399">
        <v>0.06</v>
      </c>
      <c r="O4" s="399">
        <v>0.06</v>
      </c>
      <c r="P4" s="399">
        <v>0.06</v>
      </c>
      <c r="Q4" s="399">
        <v>0.06</v>
      </c>
      <c r="R4" s="399"/>
      <c r="S4" s="399">
        <v>325.25</v>
      </c>
      <c r="T4" s="399">
        <v>297.72000000000003</v>
      </c>
      <c r="U4" s="399"/>
      <c r="V4" s="399">
        <v>37.378200000000007</v>
      </c>
      <c r="W4" s="399">
        <v>37.378200000000007</v>
      </c>
      <c r="X4" s="399">
        <v>31.960799999999999</v>
      </c>
      <c r="Y4" s="399">
        <v>0</v>
      </c>
      <c r="Z4" s="399">
        <v>0</v>
      </c>
      <c r="AA4" s="399">
        <v>0</v>
      </c>
      <c r="AB4" s="399">
        <v>0</v>
      </c>
      <c r="AC4" s="399">
        <v>0</v>
      </c>
      <c r="AD4" s="399">
        <v>5.9638501905891719</v>
      </c>
      <c r="AE4" s="399">
        <v>12.00868842016242</v>
      </c>
      <c r="AF4" s="399">
        <v>17.863431418570919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0</v>
      </c>
      <c r="AM4" s="399"/>
      <c r="AN4" s="399">
        <v>5.3423216183876999E-2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1.4888282124241741</v>
      </c>
      <c r="BH4" s="399">
        <v>0</v>
      </c>
      <c r="BI4" s="399">
        <v>0</v>
      </c>
      <c r="BJ4" s="399">
        <v>0</v>
      </c>
      <c r="BK4" s="399">
        <v>1.32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>
        <v>20.774999999999999</v>
      </c>
      <c r="BU4" s="399"/>
      <c r="BV4" s="399">
        <v>19.352259630995093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11.1858</v>
      </c>
      <c r="CJ4" s="399">
        <v>-1.9265999999999988</v>
      </c>
      <c r="CK4" s="399"/>
      <c r="CL4" s="399"/>
      <c r="CM4" s="399"/>
      <c r="CN4" s="399"/>
      <c r="CO4" s="399">
        <v>-6.1841999999999997</v>
      </c>
      <c r="CP4" s="399">
        <v>0.76679999999999837</v>
      </c>
      <c r="CQ4" s="399">
        <v>30</v>
      </c>
      <c r="CR4" s="399">
        <v>0.79082036450860116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-4.5960702583649926E-2</v>
      </c>
      <c r="DA4" s="399">
        <v>0</v>
      </c>
      <c r="DB4" s="399">
        <v>0</v>
      </c>
      <c r="DC4" s="399">
        <v>0.76652668700430127</v>
      </c>
      <c r="DD4" s="399">
        <v>0</v>
      </c>
      <c r="DE4" s="399">
        <v>0</v>
      </c>
      <c r="DF4" s="399">
        <v>0</v>
      </c>
      <c r="DG4" s="399">
        <v>6.3886189077959843E-2</v>
      </c>
      <c r="DH4" s="399">
        <v>0</v>
      </c>
      <c r="DI4" s="399">
        <v>0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</v>
      </c>
      <c r="DP4" s="399">
        <v>6.368191009988998E-3</v>
      </c>
      <c r="DQ4" s="399">
        <v>0</v>
      </c>
      <c r="DR4" s="399">
        <v>0</v>
      </c>
      <c r="DS4" s="399"/>
      <c r="DT4" s="399"/>
      <c r="DU4" s="399"/>
      <c r="DV4" s="399">
        <v>12.00868842016242</v>
      </c>
      <c r="DW4" s="399">
        <v>0</v>
      </c>
      <c r="DX4" s="399">
        <v>0</v>
      </c>
      <c r="DY4" s="399">
        <v>-6.1842000000000006</v>
      </c>
      <c r="DZ4" s="399">
        <v>0.76679999999999637</v>
      </c>
      <c r="EA4" s="399">
        <v>0</v>
      </c>
      <c r="EB4" s="399">
        <v>0</v>
      </c>
      <c r="EC4" s="399">
        <v>-6.2083241847787498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232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956</v>
      </c>
      <c r="C5" s="399" t="s">
        <v>2328</v>
      </c>
      <c r="D5" s="399" t="s">
        <v>1821</v>
      </c>
      <c r="E5" s="399" t="s">
        <v>889</v>
      </c>
      <c r="F5" s="399" t="s">
        <v>2332</v>
      </c>
      <c r="G5" s="399" t="s">
        <v>1239</v>
      </c>
      <c r="H5" s="399" t="s">
        <v>1239</v>
      </c>
      <c r="I5" s="399" t="s">
        <v>1239</v>
      </c>
      <c r="J5" s="399" t="s">
        <v>2326</v>
      </c>
      <c r="K5" s="788">
        <v>44440</v>
      </c>
      <c r="L5" s="399">
        <v>0</v>
      </c>
      <c r="M5" s="399">
        <v>0</v>
      </c>
      <c r="N5" s="399">
        <v>0.13200000000000001</v>
      </c>
      <c r="O5" s="399">
        <v>0.13200000000000001</v>
      </c>
      <c r="P5" s="399">
        <v>0.13200000000000001</v>
      </c>
      <c r="Q5" s="399">
        <v>0.13200000000000001</v>
      </c>
      <c r="R5" s="399"/>
      <c r="S5" s="399">
        <v>325.25</v>
      </c>
      <c r="T5" s="399">
        <v>297.72000000000003</v>
      </c>
      <c r="U5" s="399"/>
      <c r="V5" s="399">
        <v>82.232040000000012</v>
      </c>
      <c r="W5" s="399">
        <v>82.232040000000012</v>
      </c>
      <c r="X5" s="399">
        <v>70.313760000000002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13.120470419296179</v>
      </c>
      <c r="AE5" s="399">
        <v>26.419114524357326</v>
      </c>
      <c r="AF5" s="399">
        <v>39.299549120856028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0.1175310756045294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3.2754220673331833</v>
      </c>
      <c r="BH5" s="399">
        <v>0</v>
      </c>
      <c r="BI5" s="399">
        <v>0</v>
      </c>
      <c r="BJ5" s="399">
        <v>0</v>
      </c>
      <c r="BK5" s="399">
        <v>5.63</v>
      </c>
      <c r="BL5" s="399">
        <v>1</v>
      </c>
      <c r="BM5" s="399"/>
      <c r="BN5" s="399"/>
      <c r="BO5" s="399"/>
      <c r="BP5" s="399"/>
      <c r="BQ5" s="399"/>
      <c r="BR5" s="399"/>
      <c r="BS5" s="399"/>
      <c r="BT5" s="399">
        <v>28.125240000000002</v>
      </c>
      <c r="BU5" s="399"/>
      <c r="BV5" s="399">
        <v>42.57497118818921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41.549300000000002</v>
      </c>
      <c r="CJ5" s="399">
        <v>-7.8196600000000061</v>
      </c>
      <c r="CK5" s="399"/>
      <c r="CL5" s="399"/>
      <c r="CM5" s="399"/>
      <c r="CN5" s="399"/>
      <c r="CO5" s="399">
        <v>-13.60524</v>
      </c>
      <c r="CP5" s="399">
        <v>1.6869599999999965</v>
      </c>
      <c r="CQ5" s="399">
        <v>30</v>
      </c>
      <c r="CR5" s="399">
        <v>1.7398048019189218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-0.1011135456840293</v>
      </c>
      <c r="DA5" s="399">
        <v>0</v>
      </c>
      <c r="DB5" s="399">
        <v>0</v>
      </c>
      <c r="DC5" s="399">
        <v>1.6863587114094614</v>
      </c>
      <c r="DD5" s="399">
        <v>0</v>
      </c>
      <c r="DE5" s="399">
        <v>0</v>
      </c>
      <c r="DF5" s="399">
        <v>0</v>
      </c>
      <c r="DG5" s="399">
        <v>0.14054961597151161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0</v>
      </c>
      <c r="DP5" s="399">
        <v>1.4010020221975825E-2</v>
      </c>
      <c r="DQ5" s="399">
        <v>0</v>
      </c>
      <c r="DR5" s="399">
        <v>0</v>
      </c>
      <c r="DS5" s="399"/>
      <c r="DT5" s="399"/>
      <c r="DU5" s="399"/>
      <c r="DV5" s="399">
        <v>26.419114524357326</v>
      </c>
      <c r="DW5" s="399">
        <v>0</v>
      </c>
      <c r="DX5" s="399">
        <v>0</v>
      </c>
      <c r="DY5" s="399">
        <v>-13.605239999999998</v>
      </c>
      <c r="DZ5" s="399">
        <v>1.6869599999999991</v>
      </c>
      <c r="EA5" s="399">
        <v>0</v>
      </c>
      <c r="EB5" s="399">
        <v>0</v>
      </c>
      <c r="EC5" s="399">
        <v>-13.658313206513252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232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1821</v>
      </c>
      <c r="E6" s="399" t="s">
        <v>889</v>
      </c>
      <c r="F6" s="399" t="s">
        <v>2333</v>
      </c>
      <c r="G6" s="399" t="s">
        <v>1239</v>
      </c>
      <c r="H6" s="399" t="s">
        <v>1239</v>
      </c>
      <c r="I6" s="399" t="s">
        <v>1239</v>
      </c>
      <c r="J6" s="399" t="s">
        <v>2326</v>
      </c>
      <c r="K6" s="788">
        <v>44440</v>
      </c>
      <c r="L6" s="399">
        <v>0</v>
      </c>
      <c r="M6" s="399">
        <v>0</v>
      </c>
      <c r="N6" s="399">
        <v>0.12</v>
      </c>
      <c r="O6" s="399">
        <v>0.12</v>
      </c>
      <c r="P6" s="399">
        <v>0.12</v>
      </c>
      <c r="Q6" s="399">
        <v>0.12</v>
      </c>
      <c r="R6" s="399"/>
      <c r="S6" s="399">
        <v>325.25</v>
      </c>
      <c r="T6" s="399">
        <v>297.72000000000003</v>
      </c>
      <c r="U6" s="399"/>
      <c r="V6" s="399">
        <v>74.756400000000014</v>
      </c>
      <c r="W6" s="399">
        <v>74.756400000000014</v>
      </c>
      <c r="X6" s="399">
        <v>63.921599999999998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11.927700381178344</v>
      </c>
      <c r="AE6" s="399">
        <v>24.01737684032484</v>
      </c>
      <c r="AF6" s="399">
        <v>35.726862837141837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0.106846432367754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2.9776564248483481</v>
      </c>
      <c r="BH6" s="399">
        <v>0</v>
      </c>
      <c r="BI6" s="399">
        <v>0</v>
      </c>
      <c r="BJ6" s="399">
        <v>0</v>
      </c>
      <c r="BK6" s="399">
        <v>12.58</v>
      </c>
      <c r="BL6" s="399">
        <v>0</v>
      </c>
      <c r="BM6" s="399"/>
      <c r="BN6" s="399"/>
      <c r="BO6" s="399"/>
      <c r="BP6" s="399"/>
      <c r="BQ6" s="399"/>
      <c r="BR6" s="399"/>
      <c r="BS6" s="399"/>
      <c r="BT6" s="399">
        <v>6.3924000000000012</v>
      </c>
      <c r="BU6" s="399"/>
      <c r="BV6" s="399">
        <v>38.704519261990185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57.529200000000003</v>
      </c>
      <c r="CJ6" s="399">
        <v>-9.7811999999999983</v>
      </c>
      <c r="CK6" s="399"/>
      <c r="CL6" s="399"/>
      <c r="CM6" s="399"/>
      <c r="CN6" s="399"/>
      <c r="CO6" s="399">
        <v>-12.368399999999999</v>
      </c>
      <c r="CP6" s="399">
        <v>1.5335999999999967</v>
      </c>
      <c r="CQ6" s="399">
        <v>30</v>
      </c>
      <c r="CR6" s="399">
        <v>1.5816407290172023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-9.1921405167299852E-2</v>
      </c>
      <c r="DA6" s="399">
        <v>0</v>
      </c>
      <c r="DB6" s="399">
        <v>0</v>
      </c>
      <c r="DC6" s="399">
        <v>1.5330533740086025</v>
      </c>
      <c r="DD6" s="399">
        <v>0</v>
      </c>
      <c r="DE6" s="399">
        <v>0</v>
      </c>
      <c r="DF6" s="399">
        <v>0</v>
      </c>
      <c r="DG6" s="399">
        <v>0.12777237815591969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1.2736382019977996E-2</v>
      </c>
      <c r="DQ6" s="399">
        <v>0</v>
      </c>
      <c r="DR6" s="399">
        <v>0</v>
      </c>
      <c r="DS6" s="399"/>
      <c r="DT6" s="399"/>
      <c r="DU6" s="399"/>
      <c r="DV6" s="399">
        <v>24.01737684032484</v>
      </c>
      <c r="DW6" s="399">
        <v>0</v>
      </c>
      <c r="DX6" s="399">
        <v>0</v>
      </c>
      <c r="DY6" s="399">
        <v>-12.368400000000001</v>
      </c>
      <c r="DZ6" s="399">
        <v>1.5335999999999927</v>
      </c>
      <c r="EA6" s="399">
        <v>0</v>
      </c>
      <c r="EB6" s="399">
        <v>0</v>
      </c>
      <c r="EC6" s="399">
        <v>-12.4166483695575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232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1821</v>
      </c>
      <c r="E7" s="399" t="s">
        <v>889</v>
      </c>
      <c r="F7" s="399" t="s">
        <v>2334</v>
      </c>
      <c r="G7" s="399" t="s">
        <v>1239</v>
      </c>
      <c r="H7" s="399" t="s">
        <v>1239</v>
      </c>
      <c r="I7" s="399" t="s">
        <v>1239</v>
      </c>
      <c r="J7" s="399" t="s">
        <v>2326</v>
      </c>
      <c r="K7" s="788">
        <v>44440</v>
      </c>
      <c r="L7" s="399">
        <v>0</v>
      </c>
      <c r="M7" s="399">
        <v>0</v>
      </c>
      <c r="N7" s="399">
        <v>6.0000000000000001E-3</v>
      </c>
      <c r="O7" s="399">
        <v>6.0000000000000001E-3</v>
      </c>
      <c r="P7" s="399">
        <v>6.0000000000000001E-3</v>
      </c>
      <c r="Q7" s="399">
        <v>6.0000000000000001E-3</v>
      </c>
      <c r="R7" s="399"/>
      <c r="S7" s="399">
        <v>325.25</v>
      </c>
      <c r="T7" s="399">
        <v>297.72000000000003</v>
      </c>
      <c r="U7" s="399"/>
      <c r="V7" s="399">
        <v>3.7378200000000001</v>
      </c>
      <c r="W7" s="399">
        <v>3.7378200000000001</v>
      </c>
      <c r="X7" s="399">
        <v>3.1960800000000003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0.59638501905891717</v>
      </c>
      <c r="AE7" s="399">
        <v>1.2008688420162421</v>
      </c>
      <c r="AF7" s="399">
        <v>1.7863431418570921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5.3423216183877001E-3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0.14888282124241742</v>
      </c>
      <c r="BH7" s="399">
        <v>0</v>
      </c>
      <c r="BI7" s="399">
        <v>0</v>
      </c>
      <c r="BJ7" s="399">
        <v>0</v>
      </c>
      <c r="BK7" s="399">
        <v>4.12</v>
      </c>
      <c r="BL7" s="399">
        <v>1</v>
      </c>
      <c r="BM7" s="399"/>
      <c r="BN7" s="399"/>
      <c r="BO7" s="399"/>
      <c r="BP7" s="399"/>
      <c r="BQ7" s="399"/>
      <c r="BR7" s="399"/>
      <c r="BS7" s="399"/>
      <c r="BT7" s="399"/>
      <c r="BU7" s="399"/>
      <c r="BV7" s="399">
        <v>1.9352259630995094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5.3268000000000004</v>
      </c>
      <c r="CJ7" s="399">
        <v>1.5589800000000005</v>
      </c>
      <c r="CK7" s="399"/>
      <c r="CL7" s="399"/>
      <c r="CM7" s="399"/>
      <c r="CN7" s="399"/>
      <c r="CO7" s="399">
        <v>-0.61841999999999997</v>
      </c>
      <c r="CP7" s="399">
        <v>7.6679999999999832E-2</v>
      </c>
      <c r="CQ7" s="399">
        <v>30</v>
      </c>
      <c r="CR7" s="399">
        <v>7.9082036450860205E-2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-4.5960702583649482E-3</v>
      </c>
      <c r="DA7" s="399">
        <v>0</v>
      </c>
      <c r="DB7" s="399">
        <v>0</v>
      </c>
      <c r="DC7" s="399">
        <v>7.6652668700430082E-2</v>
      </c>
      <c r="DD7" s="399">
        <v>0</v>
      </c>
      <c r="DE7" s="399">
        <v>0</v>
      </c>
      <c r="DF7" s="399">
        <v>0</v>
      </c>
      <c r="DG7" s="399">
        <v>6.3886189077959898E-3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6.3681910099890049E-4</v>
      </c>
      <c r="DQ7" s="399">
        <v>0</v>
      </c>
      <c r="DR7" s="399">
        <v>0</v>
      </c>
      <c r="DS7" s="399"/>
      <c r="DT7" s="399"/>
      <c r="DU7" s="399"/>
      <c r="DV7" s="399">
        <v>1.2008688420162421</v>
      </c>
      <c r="DW7" s="399">
        <v>0</v>
      </c>
      <c r="DX7" s="399">
        <v>0</v>
      </c>
      <c r="DY7" s="399">
        <v>-0.61841999999999997</v>
      </c>
      <c r="DZ7" s="399">
        <v>7.6679999999999859E-2</v>
      </c>
      <c r="EA7" s="399">
        <v>0</v>
      </c>
      <c r="EB7" s="399">
        <v>0</v>
      </c>
      <c r="EC7" s="399">
        <v>-0.62083241847787507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232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1824</v>
      </c>
      <c r="E8" s="399" t="s">
        <v>890</v>
      </c>
      <c r="F8" s="399" t="s">
        <v>1239</v>
      </c>
      <c r="G8" s="399" t="s">
        <v>1239</v>
      </c>
      <c r="H8" s="399" t="s">
        <v>1239</v>
      </c>
      <c r="I8" s="399" t="s">
        <v>1239</v>
      </c>
      <c r="J8" s="399" t="s">
        <v>2326</v>
      </c>
      <c r="K8" s="788">
        <v>44440</v>
      </c>
      <c r="L8" s="399">
        <v>0</v>
      </c>
      <c r="M8" s="399">
        <v>0</v>
      </c>
      <c r="N8" s="399">
        <v>0.33600000000000002</v>
      </c>
      <c r="O8" s="399">
        <v>0.33600000000000002</v>
      </c>
      <c r="P8" s="399">
        <v>0.33600000000000002</v>
      </c>
      <c r="Q8" s="399">
        <v>0.33600000000000002</v>
      </c>
      <c r="R8" s="399"/>
      <c r="S8" s="399">
        <v>395.23</v>
      </c>
      <c r="T8" s="399">
        <v>297.72000000000003</v>
      </c>
      <c r="U8" s="399"/>
      <c r="V8" s="399">
        <v>232.83120000000002</v>
      </c>
      <c r="W8" s="399">
        <v>232.83120000000002</v>
      </c>
      <c r="X8" s="399">
        <v>206.3544</v>
      </c>
      <c r="Y8" s="399">
        <v>0</v>
      </c>
      <c r="Z8" s="399">
        <v>20.36550375570339</v>
      </c>
      <c r="AA8" s="399">
        <v>0</v>
      </c>
      <c r="AB8" s="399">
        <v>0</v>
      </c>
      <c r="AC8" s="399">
        <v>0</v>
      </c>
      <c r="AD8" s="399">
        <v>33.397561067299364</v>
      </c>
      <c r="AE8" s="399">
        <v>67.248655152909564</v>
      </c>
      <c r="AF8" s="399">
        <v>100.03521594399716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3.1486181681538126</v>
      </c>
      <c r="AM8" s="399"/>
      <c r="AN8" s="399">
        <v>0.29917001062971121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8.3374379895753759</v>
      </c>
      <c r="BH8" s="399">
        <v>0</v>
      </c>
      <c r="BI8" s="399">
        <v>0</v>
      </c>
      <c r="BJ8" s="399">
        <v>0</v>
      </c>
      <c r="BK8" s="399">
        <v>74.45</v>
      </c>
      <c r="BL8" s="399">
        <v>2</v>
      </c>
      <c r="BM8" s="399"/>
      <c r="BN8" s="399"/>
      <c r="BO8" s="399"/>
      <c r="BP8" s="399"/>
      <c r="BQ8" s="399"/>
      <c r="BR8" s="399"/>
      <c r="BS8" s="399"/>
      <c r="BT8" s="399"/>
      <c r="BU8" s="399"/>
      <c r="BV8" s="399">
        <v>108.37265393357254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208.81100000000001</v>
      </c>
      <c r="CJ8" s="399">
        <v>-24.05019999999999</v>
      </c>
      <c r="CK8" s="399"/>
      <c r="CL8" s="399"/>
      <c r="CM8" s="399"/>
      <c r="CN8" s="399"/>
      <c r="CO8" s="399">
        <v>-30.770880000000016</v>
      </c>
      <c r="CP8" s="399">
        <v>4.2940799999999912</v>
      </c>
      <c r="CQ8" s="399">
        <v>30</v>
      </c>
      <c r="CR8" s="399">
        <v>8.2870947865282005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-0.25737993446843888</v>
      </c>
      <c r="DA8" s="399">
        <v>0</v>
      </c>
      <c r="DB8" s="399">
        <v>0</v>
      </c>
      <c r="DC8" s="399">
        <v>4.2925494472240899</v>
      </c>
      <c r="DD8" s="399">
        <v>0</v>
      </c>
      <c r="DE8" s="399">
        <v>0</v>
      </c>
      <c r="DF8" s="399">
        <v>0</v>
      </c>
      <c r="DG8" s="399">
        <v>0.35776265883657565</v>
      </c>
      <c r="DH8" s="399">
        <v>0</v>
      </c>
      <c r="DI8" s="399">
        <v>3.3999576699885878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0.45854307529145499</v>
      </c>
      <c r="DP8" s="399">
        <v>3.5661869655938427E-2</v>
      </c>
      <c r="DQ8" s="399">
        <v>0</v>
      </c>
      <c r="DR8" s="399">
        <v>0</v>
      </c>
      <c r="DS8" s="399"/>
      <c r="DT8" s="399"/>
      <c r="DU8" s="399"/>
      <c r="DV8" s="399">
        <v>67.248655152909564</v>
      </c>
      <c r="DW8" s="399">
        <v>0</v>
      </c>
      <c r="DX8" s="399">
        <v>0</v>
      </c>
      <c r="DY8" s="399">
        <v>-30.770880000000005</v>
      </c>
      <c r="DZ8" s="399">
        <v>4.2940799999999939</v>
      </c>
      <c r="EA8" s="399">
        <v>0</v>
      </c>
      <c r="EB8" s="399">
        <v>0</v>
      </c>
      <c r="EC8" s="399">
        <v>-34.766615434761007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232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2343</v>
      </c>
      <c r="D9" s="399" t="s">
        <v>533</v>
      </c>
      <c r="E9" s="399" t="s">
        <v>890</v>
      </c>
      <c r="F9" s="399" t="s">
        <v>1239</v>
      </c>
      <c r="G9" s="399" t="s">
        <v>1239</v>
      </c>
      <c r="H9" s="399" t="s">
        <v>1239</v>
      </c>
      <c r="I9" s="399" t="s">
        <v>893</v>
      </c>
      <c r="J9" s="399" t="s">
        <v>2326</v>
      </c>
      <c r="K9" s="788">
        <v>44440</v>
      </c>
      <c r="L9" s="399">
        <v>580</v>
      </c>
      <c r="M9" s="399">
        <v>580</v>
      </c>
      <c r="N9" s="399">
        <v>23.847000000000001</v>
      </c>
      <c r="O9" s="399">
        <v>23.847000000000001</v>
      </c>
      <c r="P9" s="399">
        <v>23.847000000000001</v>
      </c>
      <c r="Q9" s="399">
        <v>23.847000000000001</v>
      </c>
      <c r="R9" s="399">
        <v>78.569999999999993</v>
      </c>
      <c r="S9" s="399">
        <v>72.290000000000006</v>
      </c>
      <c r="T9" s="399">
        <v>297.72000000000003</v>
      </c>
      <c r="U9" s="399">
        <v>45570.6</v>
      </c>
      <c r="V9" s="399">
        <v>8823.6284700000015</v>
      </c>
      <c r="W9" s="399">
        <v>54394.228470000002</v>
      </c>
      <c r="X9" s="399">
        <v>40400.763680000004</v>
      </c>
      <c r="Y9" s="399">
        <v>0</v>
      </c>
      <c r="Z9" s="399">
        <v>1257.5025780183498</v>
      </c>
      <c r="AA9" s="399">
        <v>0</v>
      </c>
      <c r="AB9" s="399">
        <v>0</v>
      </c>
      <c r="AC9" s="399">
        <v>0</v>
      </c>
      <c r="AD9" s="399">
        <v>17679.468868093922</v>
      </c>
      <c r="AE9" s="399">
        <v>27892.700319820804</v>
      </c>
      <c r="AF9" s="399">
        <v>7099.8208173110124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223.46755195227371</v>
      </c>
      <c r="AM9" s="399"/>
      <c r="AN9" s="399">
        <v>14.378639357542442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228.46505463008657</v>
      </c>
      <c r="BH9" s="399">
        <v>0</v>
      </c>
      <c r="BI9" s="399">
        <v>0</v>
      </c>
      <c r="BJ9" s="399">
        <v>0</v>
      </c>
      <c r="BK9" s="399">
        <v>0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7328.2858719410988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40401.944000000003</v>
      </c>
      <c r="CJ9" s="399">
        <v>-13992.314470000005</v>
      </c>
      <c r="CK9" s="399"/>
      <c r="CL9" s="399"/>
      <c r="CM9" s="399"/>
      <c r="CN9" s="399"/>
      <c r="CO9" s="399">
        <v>-14298.229449999997</v>
      </c>
      <c r="CP9" s="399">
        <v>304.76465999999937</v>
      </c>
      <c r="CQ9" s="399">
        <v>30</v>
      </c>
      <c r="CR9" s="399">
        <v>422.40626756867277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-136.24768975006373</v>
      </c>
      <c r="DA9" s="399">
        <v>0</v>
      </c>
      <c r="DB9" s="399">
        <v>0</v>
      </c>
      <c r="DC9" s="399">
        <v>304.65603174985972</v>
      </c>
      <c r="DD9" s="399">
        <v>0</v>
      </c>
      <c r="DE9" s="399">
        <v>0</v>
      </c>
      <c r="DF9" s="399">
        <v>0</v>
      </c>
      <c r="DG9" s="399">
        <v>9.8035230364412769</v>
      </c>
      <c r="DH9" s="399">
        <v>0</v>
      </c>
      <c r="DI9" s="399">
        <v>209.93615411877613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32.544275941890874</v>
      </c>
      <c r="DP9" s="399">
        <v>1.7139724717698552</v>
      </c>
      <c r="DQ9" s="399">
        <v>0</v>
      </c>
      <c r="DR9" s="399">
        <v>0</v>
      </c>
      <c r="DS9" s="399"/>
      <c r="DT9" s="399"/>
      <c r="DU9" s="399">
        <v>27892.700319820804</v>
      </c>
      <c r="DV9" s="399">
        <v>0</v>
      </c>
      <c r="DW9" s="399">
        <v>0</v>
      </c>
      <c r="DX9" s="399">
        <v>0</v>
      </c>
      <c r="DY9" s="399">
        <v>-14298.229449999999</v>
      </c>
      <c r="DZ9" s="399">
        <v>304.76465999999982</v>
      </c>
      <c r="EA9" s="399">
        <v>0</v>
      </c>
      <c r="EB9" s="399">
        <v>0</v>
      </c>
      <c r="EC9" s="399">
        <v>-14420.136480815379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232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2343</v>
      </c>
      <c r="D10" s="399" t="s">
        <v>533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2323</v>
      </c>
      <c r="J10" s="399" t="s">
        <v>2326</v>
      </c>
      <c r="K10" s="788">
        <v>44440</v>
      </c>
      <c r="L10" s="399">
        <v>609</v>
      </c>
      <c r="M10" s="399">
        <v>609</v>
      </c>
      <c r="N10" s="399">
        <v>206.20699999999999</v>
      </c>
      <c r="O10" s="399">
        <v>206.20699999999999</v>
      </c>
      <c r="P10" s="399">
        <v>206.20699999999999</v>
      </c>
      <c r="Q10" s="399">
        <v>206.20699999999999</v>
      </c>
      <c r="R10" s="399">
        <v>25.76</v>
      </c>
      <c r="S10" s="399">
        <v>72.290000000000006</v>
      </c>
      <c r="T10" s="399">
        <v>297.72000000000003</v>
      </c>
      <c r="U10" s="399">
        <v>15687.84</v>
      </c>
      <c r="V10" s="399">
        <v>76298.652070000011</v>
      </c>
      <c r="W10" s="399">
        <v>91986.492070000008</v>
      </c>
      <c r="X10" s="399">
        <v>92530.562080000003</v>
      </c>
      <c r="Y10" s="399">
        <v>0</v>
      </c>
      <c r="Z10" s="399">
        <v>10873.729781751576</v>
      </c>
      <c r="AA10" s="399">
        <v>0</v>
      </c>
      <c r="AB10" s="399">
        <v>0</v>
      </c>
      <c r="AC10" s="399">
        <v>0</v>
      </c>
      <c r="AD10" s="399">
        <v>7503.1097887562892</v>
      </c>
      <c r="AE10" s="399">
        <v>8183.9015808061977</v>
      </c>
      <c r="AF10" s="399">
        <v>61392.74337548756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1932.3425791681345</v>
      </c>
      <c r="AM10" s="399"/>
      <c r="AN10" s="399">
        <v>124.33329500569272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1975.5564020676086</v>
      </c>
      <c r="BH10" s="399">
        <v>0</v>
      </c>
      <c r="BI10" s="399">
        <v>0</v>
      </c>
      <c r="BJ10" s="399">
        <v>0</v>
      </c>
      <c r="BK10" s="399">
        <v>0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63368.29977755517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92531.742400000003</v>
      </c>
      <c r="CJ10" s="399">
        <v>545.22033000001102</v>
      </c>
      <c r="CK10" s="399"/>
      <c r="CL10" s="399"/>
      <c r="CM10" s="399"/>
      <c r="CN10" s="399"/>
      <c r="CO10" s="399">
        <v>-2091.2554500000033</v>
      </c>
      <c r="CP10" s="399">
        <v>2635.3254599999941</v>
      </c>
      <c r="CQ10" s="399">
        <v>30</v>
      </c>
      <c r="CR10" s="399">
        <v>4772.9043294745643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-57.823081806722257</v>
      </c>
      <c r="DA10" s="399">
        <v>0</v>
      </c>
      <c r="DB10" s="399">
        <v>0</v>
      </c>
      <c r="DC10" s="399">
        <v>2634.3861424515999</v>
      </c>
      <c r="DD10" s="399">
        <v>0</v>
      </c>
      <c r="DE10" s="399">
        <v>0</v>
      </c>
      <c r="DF10" s="399">
        <v>0</v>
      </c>
      <c r="DG10" s="399">
        <v>84.771882197989044</v>
      </c>
      <c r="DH10" s="399">
        <v>0</v>
      </c>
      <c r="DI10" s="399">
        <v>1815.335452357549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281.41307121019349</v>
      </c>
      <c r="DP10" s="399">
        <v>14.820863063959678</v>
      </c>
      <c r="DQ10" s="399">
        <v>0</v>
      </c>
      <c r="DR10" s="399">
        <v>0</v>
      </c>
      <c r="DS10" s="399"/>
      <c r="DT10" s="399"/>
      <c r="DU10" s="399">
        <v>8183.9015808061977</v>
      </c>
      <c r="DV10" s="399">
        <v>0</v>
      </c>
      <c r="DW10" s="399">
        <v>0</v>
      </c>
      <c r="DX10" s="399">
        <v>0</v>
      </c>
      <c r="DY10" s="399">
        <v>-2091.2554500000006</v>
      </c>
      <c r="DZ10" s="399">
        <v>2635.3254599999927</v>
      </c>
      <c r="EA10" s="399">
        <v>0</v>
      </c>
      <c r="EB10" s="399">
        <v>0</v>
      </c>
      <c r="EC10" s="399">
        <v>-4230.9628106148184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232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2343</v>
      </c>
      <c r="D11" s="399" t="s">
        <v>533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2326</v>
      </c>
      <c r="K11" s="788">
        <v>44440</v>
      </c>
      <c r="L11" s="399">
        <v>0</v>
      </c>
      <c r="M11" s="399">
        <v>0</v>
      </c>
      <c r="N11" s="399">
        <v>0</v>
      </c>
      <c r="O11" s="399">
        <v>0</v>
      </c>
      <c r="P11" s="399">
        <v>0</v>
      </c>
      <c r="Q11" s="399">
        <v>0</v>
      </c>
      <c r="R11" s="399"/>
      <c r="S11" s="399"/>
      <c r="T11" s="399"/>
      <c r="U11" s="399"/>
      <c r="V11" s="399"/>
      <c r="W11" s="399"/>
      <c r="X11" s="399"/>
      <c r="Y11" s="399"/>
      <c r="Z11" s="399"/>
      <c r="AA11" s="399">
        <v>0</v>
      </c>
      <c r="AB11" s="399"/>
      <c r="AC11" s="399"/>
      <c r="AD11" s="399"/>
      <c r="AE11" s="399"/>
      <c r="AF11" s="399"/>
      <c r="AG11" s="399"/>
      <c r="AH11" s="399"/>
      <c r="AI11" s="399"/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>
        <v>0</v>
      </c>
      <c r="BA11" s="399"/>
      <c r="BB11" s="399"/>
      <c r="BC11" s="399"/>
      <c r="BD11" s="399"/>
      <c r="BE11" s="399"/>
      <c r="BF11" s="399"/>
      <c r="BG11" s="399"/>
      <c r="BH11" s="399"/>
      <c r="BI11" s="399">
        <v>0</v>
      </c>
      <c r="BJ11" s="399">
        <v>0</v>
      </c>
      <c r="BK11" s="399">
        <v>49959.55</v>
      </c>
      <c r="BL11" s="399">
        <v>1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/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/>
      <c r="CJ11" s="399">
        <v>-0.03</v>
      </c>
      <c r="CK11" s="399"/>
      <c r="CL11" s="399"/>
      <c r="CM11" s="399"/>
      <c r="CN11" s="399"/>
      <c r="CO11" s="399">
        <v>0</v>
      </c>
      <c r="CP11" s="399">
        <v>0</v>
      </c>
      <c r="CQ11" s="399">
        <v>30</v>
      </c>
      <c r="CR11" s="399"/>
      <c r="CS11" s="399"/>
      <c r="CT11" s="399"/>
      <c r="CU11" s="399"/>
      <c r="CV11" s="399"/>
      <c r="CW11" s="399"/>
      <c r="CX11" s="399"/>
      <c r="CY11" s="399"/>
      <c r="CZ11" s="399"/>
      <c r="DA11" s="399"/>
      <c r="DB11" s="399"/>
      <c r="DC11" s="399"/>
      <c r="DD11" s="399"/>
      <c r="DE11" s="399"/>
      <c r="DF11" s="399"/>
      <c r="DG11" s="399"/>
      <c r="DH11" s="399"/>
      <c r="DI11" s="399"/>
      <c r="DJ11" s="399"/>
      <c r="DK11" s="399">
        <v>0</v>
      </c>
      <c r="DL11" s="399"/>
      <c r="DM11" s="399"/>
      <c r="DN11" s="399"/>
      <c r="DO11" s="399"/>
      <c r="DP11" s="399"/>
      <c r="DQ11" s="399"/>
      <c r="DR11" s="399"/>
      <c r="DS11" s="399"/>
      <c r="DT11" s="399"/>
      <c r="DU11" s="399"/>
      <c r="DV11" s="399"/>
      <c r="DW11" s="399"/>
      <c r="DX11" s="399"/>
      <c r="DY11" s="399"/>
      <c r="DZ11" s="399"/>
      <c r="EA11" s="399"/>
      <c r="EB11" s="399"/>
      <c r="EC11" s="399"/>
      <c r="ED11" s="399"/>
      <c r="EE11" s="399"/>
      <c r="EF11" s="399"/>
      <c r="EG11" s="399"/>
      <c r="EH11" s="399"/>
      <c r="EI11" s="399"/>
      <c r="EJ11" s="399"/>
      <c r="EK11" s="399"/>
      <c r="EL11" s="399"/>
      <c r="EM11" s="399"/>
      <c r="EN11" s="399"/>
      <c r="EO11" s="399"/>
      <c r="EP11" s="399"/>
      <c r="EQ11" s="399"/>
      <c r="ER11" s="399"/>
      <c r="ES11" s="399"/>
      <c r="ET11" s="399"/>
      <c r="EU11" s="399"/>
      <c r="EV11" s="399">
        <v>232</v>
      </c>
      <c r="EW11" s="399"/>
      <c r="EX11" s="399"/>
      <c r="EY11" s="399"/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2325</v>
      </c>
      <c r="D12" s="399" t="s">
        <v>533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893</v>
      </c>
      <c r="J12" s="399" t="s">
        <v>2326</v>
      </c>
      <c r="K12" s="788">
        <v>44440</v>
      </c>
      <c r="L12" s="399">
        <v>0</v>
      </c>
      <c r="M12" s="399">
        <v>0</v>
      </c>
      <c r="N12" s="399">
        <v>43.52</v>
      </c>
      <c r="O12" s="399">
        <v>43.52</v>
      </c>
      <c r="P12" s="399">
        <v>43.52</v>
      </c>
      <c r="Q12" s="399">
        <v>43.52</v>
      </c>
      <c r="R12" s="399"/>
      <c r="S12" s="399">
        <v>1962.25</v>
      </c>
      <c r="T12" s="399">
        <v>297.72000000000003</v>
      </c>
      <c r="U12" s="399"/>
      <c r="V12" s="399">
        <v>98353.894400000019</v>
      </c>
      <c r="W12" s="399">
        <v>98353.894400000019</v>
      </c>
      <c r="X12" s="399">
        <v>73105.331200000001</v>
      </c>
      <c r="Y12" s="399">
        <v>0</v>
      </c>
      <c r="Z12" s="399">
        <v>2294.9013374998358</v>
      </c>
      <c r="AA12" s="399">
        <v>0</v>
      </c>
      <c r="AB12" s="399">
        <v>0</v>
      </c>
      <c r="AC12" s="399">
        <v>0</v>
      </c>
      <c r="AD12" s="399">
        <v>31916.760691783766</v>
      </c>
      <c r="AE12" s="399">
        <v>50334.644617790414</v>
      </c>
      <c r="AF12" s="399">
        <v>12956.942255603441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407.82101987516052</v>
      </c>
      <c r="AM12" s="399"/>
      <c r="AN12" s="399">
        <v>26.240549538317065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416.941299849095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13373.883555452536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73105.331200000001</v>
      </c>
      <c r="CJ12" s="399">
        <v>-25248.593200000003</v>
      </c>
      <c r="CK12" s="399"/>
      <c r="CL12" s="399"/>
      <c r="CM12" s="399"/>
      <c r="CN12" s="399"/>
      <c r="CO12" s="399">
        <v>-25804.748800000005</v>
      </c>
      <c r="CP12" s="399">
        <v>556.18559999999889</v>
      </c>
      <c r="CQ12" s="399">
        <v>30</v>
      </c>
      <c r="CR12" s="399">
        <v>773.55724239929259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-245.96807409801841</v>
      </c>
      <c r="DA12" s="399">
        <v>0</v>
      </c>
      <c r="DB12" s="399">
        <v>0</v>
      </c>
      <c r="DC12" s="399">
        <v>555.98735697378652</v>
      </c>
      <c r="DD12" s="399">
        <v>0</v>
      </c>
      <c r="DE12" s="399">
        <v>0</v>
      </c>
      <c r="DF12" s="399">
        <v>0</v>
      </c>
      <c r="DG12" s="399">
        <v>17.891110938311897</v>
      </c>
      <c r="DH12" s="399">
        <v>0</v>
      </c>
      <c r="DI12" s="399">
        <v>383.12665858385299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59.392245942512204</v>
      </c>
      <c r="DP12" s="399">
        <v>3.1279440588511811</v>
      </c>
      <c r="DQ12" s="399">
        <v>0</v>
      </c>
      <c r="DR12" s="399">
        <v>0</v>
      </c>
      <c r="DS12" s="399"/>
      <c r="DT12" s="399"/>
      <c r="DU12" s="399"/>
      <c r="DV12" s="399">
        <v>50334.644617790414</v>
      </c>
      <c r="DW12" s="399">
        <v>0</v>
      </c>
      <c r="DX12" s="399">
        <v>0</v>
      </c>
      <c r="DY12" s="399">
        <v>-25804.748800000008</v>
      </c>
      <c r="DZ12" s="399">
        <v>556.18559999999889</v>
      </c>
      <c r="EA12" s="399">
        <v>0</v>
      </c>
      <c r="EB12" s="399">
        <v>0</v>
      </c>
      <c r="EC12" s="399">
        <v>-26022.308230447365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232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2325</v>
      </c>
      <c r="D13" s="399" t="s">
        <v>533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2323</v>
      </c>
      <c r="J13" s="399" t="s">
        <v>2326</v>
      </c>
      <c r="K13" s="788">
        <v>44440</v>
      </c>
      <c r="L13" s="399">
        <v>0</v>
      </c>
      <c r="M13" s="399">
        <v>0</v>
      </c>
      <c r="N13" s="399">
        <v>609.14499999999998</v>
      </c>
      <c r="O13" s="399">
        <v>609.14499999999998</v>
      </c>
      <c r="P13" s="399">
        <v>609.14499999999998</v>
      </c>
      <c r="Q13" s="399">
        <v>609.14499999999998</v>
      </c>
      <c r="R13" s="399"/>
      <c r="S13" s="399">
        <v>72.290000000000006</v>
      </c>
      <c r="T13" s="399">
        <v>297.72000000000003</v>
      </c>
      <c r="U13" s="399"/>
      <c r="V13" s="399">
        <v>225389.74145000003</v>
      </c>
      <c r="W13" s="399">
        <v>225389.74145000003</v>
      </c>
      <c r="X13" s="399">
        <v>239662.00879999998</v>
      </c>
      <c r="Y13" s="399">
        <v>0</v>
      </c>
      <c r="Z13" s="399">
        <v>32121.499890425948</v>
      </c>
      <c r="AA13" s="399">
        <v>0</v>
      </c>
      <c r="AB13" s="399">
        <v>0</v>
      </c>
      <c r="AC13" s="399">
        <v>0</v>
      </c>
      <c r="AD13" s="399">
        <v>0</v>
      </c>
      <c r="AE13" s="399">
        <v>0</v>
      </c>
      <c r="AF13" s="399">
        <v>181356.99885775638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5708.2292084525416</v>
      </c>
      <c r="AM13" s="399"/>
      <c r="AN13" s="399">
        <v>367.28629477293538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5835.8848367779628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187192.88369453434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239663.97599999997</v>
      </c>
      <c r="CJ13" s="399">
        <v>14274.204549999937</v>
      </c>
      <c r="CK13" s="399"/>
      <c r="CL13" s="399"/>
      <c r="CM13" s="399"/>
      <c r="CN13" s="399"/>
      <c r="CO13" s="399">
        <v>6487.3942499999948</v>
      </c>
      <c r="CP13" s="399">
        <v>7784.8730999999834</v>
      </c>
      <c r="CQ13" s="399">
        <v>30</v>
      </c>
      <c r="CR13" s="399">
        <v>14270.191840941116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</v>
      </c>
      <c r="DA13" s="399">
        <v>0</v>
      </c>
      <c r="DB13" s="399">
        <v>0</v>
      </c>
      <c r="DC13" s="399">
        <v>7782.0983125872444</v>
      </c>
      <c r="DD13" s="399">
        <v>0</v>
      </c>
      <c r="DE13" s="399">
        <v>0</v>
      </c>
      <c r="DF13" s="399">
        <v>0</v>
      </c>
      <c r="DG13" s="399">
        <v>250.42005451557907</v>
      </c>
      <c r="DH13" s="399">
        <v>0</v>
      </c>
      <c r="DI13" s="399">
        <v>5362.5847528276863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831.3072071381348</v>
      </c>
      <c r="DP13" s="399">
        <v>43.781513872447192</v>
      </c>
      <c r="DQ13" s="399">
        <v>0</v>
      </c>
      <c r="DR13" s="399">
        <v>0</v>
      </c>
      <c r="DS13" s="399"/>
      <c r="DT13" s="399"/>
      <c r="DU13" s="399"/>
      <c r="DV13" s="399">
        <v>0</v>
      </c>
      <c r="DW13" s="399">
        <v>0</v>
      </c>
      <c r="DX13" s="399">
        <v>0</v>
      </c>
      <c r="DY13" s="399">
        <v>6487.3942499999976</v>
      </c>
      <c r="DZ13" s="399">
        <v>7784.873099999968</v>
      </c>
      <c r="EA13" s="399">
        <v>0</v>
      </c>
      <c r="EB13" s="399">
        <v>0</v>
      </c>
      <c r="EC13" s="399">
        <v>0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232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2325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2326</v>
      </c>
      <c r="K14" s="788">
        <v>44440</v>
      </c>
      <c r="L14" s="399">
        <v>3060</v>
      </c>
      <c r="M14" s="399">
        <v>3060</v>
      </c>
      <c r="N14" s="399">
        <v>0</v>
      </c>
      <c r="O14" s="399">
        <v>0</v>
      </c>
      <c r="P14" s="399">
        <v>0</v>
      </c>
      <c r="Q14" s="399">
        <v>0</v>
      </c>
      <c r="R14" s="399">
        <v>25.76</v>
      </c>
      <c r="S14" s="399"/>
      <c r="T14" s="399"/>
      <c r="U14" s="399">
        <v>78825.600000000006</v>
      </c>
      <c r="V14" s="399"/>
      <c r="W14" s="399">
        <v>78825.600000000006</v>
      </c>
      <c r="X14" s="399">
        <v>57283.199999999997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37700.354603603031</v>
      </c>
      <c r="AE14" s="399">
        <v>41121.081834592718</v>
      </c>
      <c r="AF14" s="399"/>
      <c r="AG14" s="399"/>
      <c r="AH14" s="399"/>
      <c r="AI14" s="399">
        <v>0</v>
      </c>
      <c r="AJ14" s="399">
        <v>0</v>
      </c>
      <c r="AK14" s="399">
        <v>0</v>
      </c>
      <c r="AL14" s="399">
        <v>0</v>
      </c>
      <c r="AM14" s="399"/>
      <c r="AN14" s="399">
        <v>0</v>
      </c>
      <c r="AO14" s="399">
        <v>0</v>
      </c>
      <c r="AP14" s="399">
        <v>0</v>
      </c>
      <c r="AQ14" s="399">
        <v>0</v>
      </c>
      <c r="AR14" s="399">
        <v>0</v>
      </c>
      <c r="AS14" s="399"/>
      <c r="AT14" s="399"/>
      <c r="AU14" s="399">
        <v>0</v>
      </c>
      <c r="AV14" s="399">
        <v>0</v>
      </c>
      <c r="AW14" s="399">
        <v>0</v>
      </c>
      <c r="AX14" s="399"/>
      <c r="AY14" s="399"/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/>
      <c r="BG14" s="399">
        <v>0</v>
      </c>
      <c r="BH14" s="399">
        <v>0</v>
      </c>
      <c r="BI14" s="399">
        <v>0</v>
      </c>
      <c r="BJ14" s="399">
        <v>0</v>
      </c>
      <c r="BK14" s="399">
        <v>131788.78</v>
      </c>
      <c r="BL14" s="399">
        <v>3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0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57283.199999999997</v>
      </c>
      <c r="CJ14" s="399">
        <v>-21542.429999999993</v>
      </c>
      <c r="CK14" s="399"/>
      <c r="CL14" s="399"/>
      <c r="CM14" s="399"/>
      <c r="CN14" s="399"/>
      <c r="CO14" s="399">
        <v>-21542.400000000009</v>
      </c>
      <c r="CP14" s="399">
        <v>0</v>
      </c>
      <c r="CQ14" s="399">
        <v>30</v>
      </c>
      <c r="CR14" s="399">
        <v>-290.53962287121249</v>
      </c>
      <c r="CS14" s="399">
        <v>0</v>
      </c>
      <c r="CT14" s="399">
        <v>0</v>
      </c>
      <c r="CU14" s="399">
        <v>0</v>
      </c>
      <c r="CV14" s="399">
        <v>0</v>
      </c>
      <c r="CW14" s="399"/>
      <c r="CX14" s="399"/>
      <c r="CY14" s="399"/>
      <c r="CZ14" s="399">
        <v>-290.53962287121249</v>
      </c>
      <c r="DA14" s="399">
        <v>0</v>
      </c>
      <c r="DB14" s="399">
        <v>0</v>
      </c>
      <c r="DC14" s="399"/>
      <c r="DD14" s="399"/>
      <c r="DE14" s="399">
        <v>0</v>
      </c>
      <c r="DF14" s="399">
        <v>0</v>
      </c>
      <c r="DG14" s="399">
        <v>0</v>
      </c>
      <c r="DH14" s="399">
        <v>0</v>
      </c>
      <c r="DI14" s="399">
        <v>0</v>
      </c>
      <c r="DJ14" s="399"/>
      <c r="DK14" s="399">
        <v>0</v>
      </c>
      <c r="DL14" s="399">
        <v>0</v>
      </c>
      <c r="DM14" s="399"/>
      <c r="DN14" s="399">
        <v>0</v>
      </c>
      <c r="DO14" s="399">
        <v>0</v>
      </c>
      <c r="DP14" s="399">
        <v>0</v>
      </c>
      <c r="DQ14" s="399">
        <v>0</v>
      </c>
      <c r="DR14" s="399">
        <v>0</v>
      </c>
      <c r="DS14" s="399"/>
      <c r="DT14" s="399"/>
      <c r="DU14" s="399">
        <v>41121.081834592718</v>
      </c>
      <c r="DV14" s="399"/>
      <c r="DW14" s="399">
        <v>0</v>
      </c>
      <c r="DX14" s="399">
        <v>0</v>
      </c>
      <c r="DY14" s="399">
        <v>-21542.400000000009</v>
      </c>
      <c r="DZ14" s="399"/>
      <c r="EA14" s="399">
        <v>0</v>
      </c>
      <c r="EB14" s="399"/>
      <c r="EC14" s="399">
        <v>-21259.024959739483</v>
      </c>
      <c r="ED14" s="399"/>
      <c r="EE14" s="399">
        <v>0</v>
      </c>
      <c r="EF14" s="399">
        <v>0</v>
      </c>
      <c r="EG14" s="399"/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/>
      <c r="EN14" s="399"/>
      <c r="EO14" s="399">
        <v>0</v>
      </c>
      <c r="EP14" s="399">
        <v>0</v>
      </c>
      <c r="EQ14" s="399"/>
      <c r="ER14" s="399">
        <v>0</v>
      </c>
      <c r="ES14" s="399"/>
      <c r="ET14" s="399">
        <v>0</v>
      </c>
      <c r="EU14" s="399"/>
      <c r="EV14" s="399">
        <v>232</v>
      </c>
      <c r="EW14" s="399"/>
      <c r="EX14" s="399"/>
      <c r="EY14" s="399"/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2328</v>
      </c>
      <c r="D15" s="399" t="s">
        <v>1824</v>
      </c>
      <c r="E15" s="399" t="s">
        <v>918</v>
      </c>
      <c r="F15" s="399" t="s">
        <v>1239</v>
      </c>
      <c r="G15" s="399" t="s">
        <v>1239</v>
      </c>
      <c r="H15" s="399" t="s">
        <v>1239</v>
      </c>
      <c r="I15" s="399" t="s">
        <v>1239</v>
      </c>
      <c r="J15" s="399" t="s">
        <v>2326</v>
      </c>
      <c r="K15" s="788">
        <v>44440</v>
      </c>
      <c r="L15" s="399">
        <v>0</v>
      </c>
      <c r="M15" s="399">
        <v>0</v>
      </c>
      <c r="N15" s="399">
        <v>18.245999999999999</v>
      </c>
      <c r="O15" s="399">
        <v>18.245999999999999</v>
      </c>
      <c r="P15" s="399">
        <v>18.245999999999999</v>
      </c>
      <c r="Q15" s="399">
        <v>18.245999999999999</v>
      </c>
      <c r="R15" s="399"/>
      <c r="S15" s="399">
        <v>395.23</v>
      </c>
      <c r="T15" s="399">
        <v>297.72000000000003</v>
      </c>
      <c r="U15" s="399"/>
      <c r="V15" s="399">
        <v>12643.565699999999</v>
      </c>
      <c r="W15" s="399">
        <v>12643.565699999999</v>
      </c>
      <c r="X15" s="399">
        <v>11205.780899999998</v>
      </c>
      <c r="Y15" s="399">
        <v>0</v>
      </c>
      <c r="Z15" s="399">
        <v>1105.9195878766786</v>
      </c>
      <c r="AA15" s="399">
        <v>0</v>
      </c>
      <c r="AB15" s="399">
        <v>0</v>
      </c>
      <c r="AC15" s="399">
        <v>0</v>
      </c>
      <c r="AD15" s="399">
        <v>1813.6068429581669</v>
      </c>
      <c r="AE15" s="399">
        <v>3651.842148571392</v>
      </c>
      <c r="AF15" s="399">
        <v>5432.2694943874167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170.98121159563826</v>
      </c>
      <c r="AM15" s="399"/>
      <c r="AN15" s="399">
        <v>16.246000041516993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452.75265939819133</v>
      </c>
      <c r="BH15" s="399">
        <v>0</v>
      </c>
      <c r="BI15" s="399">
        <v>0</v>
      </c>
      <c r="BJ15" s="399">
        <v>0</v>
      </c>
      <c r="BK15" s="399">
        <v>3806.98</v>
      </c>
      <c r="BL15" s="399">
        <v>45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5885.0221537856078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11208.237499999999</v>
      </c>
      <c r="CJ15" s="399">
        <v>-1435.3582000000006</v>
      </c>
      <c r="CK15" s="399"/>
      <c r="CL15" s="399"/>
      <c r="CM15" s="399"/>
      <c r="CN15" s="399"/>
      <c r="CO15" s="399">
        <v>-1670.9686800000006</v>
      </c>
      <c r="CP15" s="399">
        <v>233.18387999999948</v>
      </c>
      <c r="CQ15" s="399">
        <v>30</v>
      </c>
      <c r="CR15" s="399">
        <v>450.01884367557614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-13.976649655687652</v>
      </c>
      <c r="DA15" s="399">
        <v>0</v>
      </c>
      <c r="DB15" s="399">
        <v>0</v>
      </c>
      <c r="DC15" s="399">
        <v>233.10076551800739</v>
      </c>
      <c r="DD15" s="399">
        <v>0</v>
      </c>
      <c r="DE15" s="399">
        <v>0</v>
      </c>
      <c r="DF15" s="399">
        <v>0</v>
      </c>
      <c r="DG15" s="399">
        <v>19.427790098607602</v>
      </c>
      <c r="DH15" s="399">
        <v>0</v>
      </c>
      <c r="DI15" s="399">
        <v>184.62984418634437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24.900526642166341</v>
      </c>
      <c r="DP15" s="399">
        <v>1.9365668861376584</v>
      </c>
      <c r="DQ15" s="399">
        <v>0</v>
      </c>
      <c r="DR15" s="399">
        <v>0</v>
      </c>
      <c r="DS15" s="399"/>
      <c r="DT15" s="399"/>
      <c r="DU15" s="399"/>
      <c r="DV15" s="399">
        <v>3651.842148571392</v>
      </c>
      <c r="DW15" s="399">
        <v>0</v>
      </c>
      <c r="DX15" s="399">
        <v>0</v>
      </c>
      <c r="DY15" s="399">
        <v>-1670.9686800000009</v>
      </c>
      <c r="DZ15" s="399">
        <v>233.18387999999959</v>
      </c>
      <c r="EA15" s="399">
        <v>0</v>
      </c>
      <c r="EB15" s="399">
        <v>0</v>
      </c>
      <c r="EC15" s="399">
        <v>-1887.9513845912181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232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2328</v>
      </c>
      <c r="D16" s="399" t="s">
        <v>2335</v>
      </c>
      <c r="E16" s="399" t="s">
        <v>894</v>
      </c>
      <c r="F16" s="399" t="s">
        <v>1239</v>
      </c>
      <c r="G16" s="399" t="s">
        <v>1239</v>
      </c>
      <c r="H16" s="399" t="s">
        <v>1239</v>
      </c>
      <c r="I16" s="399" t="s">
        <v>1239</v>
      </c>
      <c r="J16" s="399" t="s">
        <v>2326</v>
      </c>
      <c r="K16" s="788">
        <v>44440</v>
      </c>
      <c r="L16" s="399">
        <v>0</v>
      </c>
      <c r="M16" s="399">
        <v>0</v>
      </c>
      <c r="N16" s="399">
        <v>428.94200000000001</v>
      </c>
      <c r="O16" s="399">
        <v>428.94200000000001</v>
      </c>
      <c r="P16" s="399">
        <v>428.94200000000001</v>
      </c>
      <c r="Q16" s="399">
        <v>428.94200000000001</v>
      </c>
      <c r="R16" s="399"/>
      <c r="S16" s="399">
        <v>395.23</v>
      </c>
      <c r="T16" s="399">
        <v>297.72000000000003</v>
      </c>
      <c r="U16" s="399"/>
      <c r="V16" s="399">
        <v>297235.35889999999</v>
      </c>
      <c r="W16" s="399">
        <v>297235.35889999999</v>
      </c>
      <c r="X16" s="399">
        <v>263434.72930000001</v>
      </c>
      <c r="Y16" s="399">
        <v>0</v>
      </c>
      <c r="Z16" s="399">
        <v>25998.868785651557</v>
      </c>
      <c r="AA16" s="399">
        <v>0</v>
      </c>
      <c r="AB16" s="399">
        <v>0</v>
      </c>
      <c r="AC16" s="399">
        <v>0</v>
      </c>
      <c r="AD16" s="399">
        <v>42635.763807528339</v>
      </c>
      <c r="AE16" s="399">
        <v>85850.513805355149</v>
      </c>
      <c r="AF16" s="399">
        <v>127706.26665907746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4019.5671853697399</v>
      </c>
      <c r="AM16" s="399"/>
      <c r="AN16" s="399">
        <v>381.92435327240946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10643.682518227501</v>
      </c>
      <c r="BH16" s="399">
        <v>0</v>
      </c>
      <c r="BI16" s="399">
        <v>0.53</v>
      </c>
      <c r="BJ16" s="399">
        <v>2.5299999999999998</v>
      </c>
      <c r="BK16" s="399">
        <v>67409.350000000006</v>
      </c>
      <c r="BL16" s="399">
        <v>945</v>
      </c>
      <c r="BM16" s="399"/>
      <c r="BN16" s="399"/>
      <c r="BO16" s="399"/>
      <c r="BP16" s="399"/>
      <c r="BQ16" s="399"/>
      <c r="BR16" s="399">
        <v>31613.025399999995</v>
      </c>
      <c r="BS16" s="399"/>
      <c r="BT16" s="399"/>
      <c r="BU16" s="399"/>
      <c r="BV16" s="399">
        <v>138349.94917730495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231820.62299999999</v>
      </c>
      <c r="CJ16" s="399">
        <v>-29748.238600000041</v>
      </c>
      <c r="CK16" s="399"/>
      <c r="CL16" s="399"/>
      <c r="CM16" s="399"/>
      <c r="CN16" s="399"/>
      <c r="CO16" s="399">
        <v>-39282.508360000022</v>
      </c>
      <c r="CP16" s="399">
        <v>5481.8787599999887</v>
      </c>
      <c r="CQ16" s="399">
        <v>30</v>
      </c>
      <c r="CR16" s="399">
        <v>10579.413725961262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-328.57459479392855</v>
      </c>
      <c r="DA16" s="399">
        <v>0</v>
      </c>
      <c r="DB16" s="399">
        <v>0</v>
      </c>
      <c r="DC16" s="399">
        <v>5479.9248362833168</v>
      </c>
      <c r="DD16" s="399">
        <v>0</v>
      </c>
      <c r="DE16" s="399">
        <v>0</v>
      </c>
      <c r="DF16" s="399">
        <v>0</v>
      </c>
      <c r="DG16" s="399">
        <v>456.7244952579731</v>
      </c>
      <c r="DH16" s="399">
        <v>0</v>
      </c>
      <c r="DI16" s="399">
        <v>4340.4304847626336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585.38209464781949</v>
      </c>
      <c r="DP16" s="399">
        <v>45.526409803445063</v>
      </c>
      <c r="DQ16" s="399">
        <v>0</v>
      </c>
      <c r="DR16" s="399">
        <v>0</v>
      </c>
      <c r="DS16" s="399"/>
      <c r="DT16" s="399"/>
      <c r="DU16" s="399"/>
      <c r="DV16" s="399">
        <v>85850.513805355149</v>
      </c>
      <c r="DW16" s="399">
        <v>0</v>
      </c>
      <c r="DX16" s="399">
        <v>0</v>
      </c>
      <c r="DY16" s="399">
        <v>-39282.508360000007</v>
      </c>
      <c r="DZ16" s="399">
        <v>5481.8787599999923</v>
      </c>
      <c r="EA16" s="399">
        <v>0</v>
      </c>
      <c r="EB16" s="399">
        <v>0</v>
      </c>
      <c r="EC16" s="399">
        <v>-44383.516541122779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232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2330</v>
      </c>
      <c r="C17" s="399" t="s">
        <v>2328</v>
      </c>
      <c r="D17" s="399" t="s">
        <v>2335</v>
      </c>
      <c r="E17" s="399" t="s">
        <v>894</v>
      </c>
      <c r="F17" s="399" t="s">
        <v>1239</v>
      </c>
      <c r="G17" s="399" t="s">
        <v>1239</v>
      </c>
      <c r="H17" s="399" t="s">
        <v>1239</v>
      </c>
      <c r="I17" s="399" t="s">
        <v>1239</v>
      </c>
      <c r="J17" s="399" t="s">
        <v>2326</v>
      </c>
      <c r="K17" s="788">
        <v>44440</v>
      </c>
      <c r="L17" s="399">
        <v>0</v>
      </c>
      <c r="M17" s="399">
        <v>0</v>
      </c>
      <c r="N17" s="399">
        <v>23.366</v>
      </c>
      <c r="O17" s="399">
        <v>23.366</v>
      </c>
      <c r="P17" s="399">
        <v>23.366</v>
      </c>
      <c r="Q17" s="399">
        <v>23.366</v>
      </c>
      <c r="R17" s="399"/>
      <c r="S17" s="399">
        <v>395.23</v>
      </c>
      <c r="T17" s="399">
        <v>297.72000000000003</v>
      </c>
      <c r="U17" s="399"/>
      <c r="V17" s="399">
        <v>16191.469700000001</v>
      </c>
      <c r="W17" s="399">
        <v>16191.469700000001</v>
      </c>
      <c r="X17" s="399">
        <v>14350.228899999998</v>
      </c>
      <c r="Y17" s="399">
        <v>0</v>
      </c>
      <c r="Z17" s="399">
        <v>1416.2510736778731</v>
      </c>
      <c r="AA17" s="399">
        <v>0</v>
      </c>
      <c r="AB17" s="399">
        <v>0</v>
      </c>
      <c r="AC17" s="399">
        <v>0</v>
      </c>
      <c r="AD17" s="399">
        <v>2322.5220592217765</v>
      </c>
      <c r="AE17" s="399">
        <v>4676.5835604252516</v>
      </c>
      <c r="AF17" s="399">
        <v>6956.6156421054684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218.96015511036305</v>
      </c>
      <c r="AM17" s="399"/>
      <c r="AN17" s="399">
        <v>20.804781155874498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579.79933352505418</v>
      </c>
      <c r="BH17" s="399">
        <v>0</v>
      </c>
      <c r="BI17" s="399">
        <v>0</v>
      </c>
      <c r="BJ17" s="399">
        <v>0</v>
      </c>
      <c r="BK17" s="399">
        <v>10024.83</v>
      </c>
      <c r="BL17" s="399">
        <v>15</v>
      </c>
      <c r="BM17" s="399"/>
      <c r="BN17" s="399"/>
      <c r="BO17" s="399"/>
      <c r="BP17" s="399"/>
      <c r="BQ17" s="399"/>
      <c r="BR17" s="399">
        <v>1722.0741999999996</v>
      </c>
      <c r="BS17" s="399"/>
      <c r="BT17" s="399"/>
      <c r="BU17" s="399"/>
      <c r="BV17" s="399">
        <v>7536.4149756305223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12630.316500000001</v>
      </c>
      <c r="CJ17" s="399">
        <v>-1618.3003000000008</v>
      </c>
      <c r="CK17" s="399"/>
      <c r="CL17" s="399"/>
      <c r="CM17" s="399"/>
      <c r="CN17" s="399"/>
      <c r="CO17" s="399">
        <v>-2139.8582800000008</v>
      </c>
      <c r="CP17" s="399">
        <v>298.61747999999938</v>
      </c>
      <c r="CQ17" s="399">
        <v>30</v>
      </c>
      <c r="CR17" s="399">
        <v>576.29838327981452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-17.898629609492673</v>
      </c>
      <c r="DA17" s="399">
        <v>0</v>
      </c>
      <c r="DB17" s="399">
        <v>0</v>
      </c>
      <c r="DC17" s="399">
        <v>298.51104280904201</v>
      </c>
      <c r="DD17" s="399">
        <v>0</v>
      </c>
      <c r="DE17" s="399">
        <v>0</v>
      </c>
      <c r="DF17" s="399">
        <v>0</v>
      </c>
      <c r="DG17" s="399">
        <v>24.87941156659349</v>
      </c>
      <c r="DH17" s="399">
        <v>0</v>
      </c>
      <c r="DI17" s="399">
        <v>236.43872296712311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31.887849694226588</v>
      </c>
      <c r="DP17" s="399">
        <v>2.4799858523233844</v>
      </c>
      <c r="DQ17" s="399">
        <v>0</v>
      </c>
      <c r="DR17" s="399">
        <v>0</v>
      </c>
      <c r="DS17" s="399"/>
      <c r="DT17" s="399"/>
      <c r="DU17" s="399"/>
      <c r="DV17" s="399">
        <v>4676.5835604252516</v>
      </c>
      <c r="DW17" s="399">
        <v>0</v>
      </c>
      <c r="DX17" s="399">
        <v>0</v>
      </c>
      <c r="DY17" s="399">
        <v>-2139.8582800000013</v>
      </c>
      <c r="DZ17" s="399">
        <v>298.61747999999989</v>
      </c>
      <c r="EA17" s="399">
        <v>0</v>
      </c>
      <c r="EB17" s="399">
        <v>0</v>
      </c>
      <c r="EC17" s="399">
        <v>-2417.7283816923377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232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2328</v>
      </c>
      <c r="D18" s="399" t="s">
        <v>1824</v>
      </c>
      <c r="E18" s="399" t="s">
        <v>2336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2326</v>
      </c>
      <c r="K18" s="788">
        <v>44440</v>
      </c>
      <c r="L18" s="399">
        <v>0</v>
      </c>
      <c r="M18" s="399">
        <v>0</v>
      </c>
      <c r="N18" s="399">
        <v>0.82399999999999995</v>
      </c>
      <c r="O18" s="399">
        <v>0.82399999999999995</v>
      </c>
      <c r="P18" s="399">
        <v>0.82399999999999995</v>
      </c>
      <c r="Q18" s="399">
        <v>0.82399999999999995</v>
      </c>
      <c r="R18" s="399"/>
      <c r="S18" s="399">
        <v>395.23</v>
      </c>
      <c r="T18" s="399">
        <v>297.72000000000003</v>
      </c>
      <c r="U18" s="399"/>
      <c r="V18" s="399">
        <v>570.99080000000004</v>
      </c>
      <c r="W18" s="399">
        <v>570.99080000000004</v>
      </c>
      <c r="X18" s="399">
        <v>506.05959999999993</v>
      </c>
      <c r="Y18" s="399">
        <v>0</v>
      </c>
      <c r="Z18" s="399">
        <v>49.943973496129736</v>
      </c>
      <c r="AA18" s="399">
        <v>0</v>
      </c>
      <c r="AB18" s="399">
        <v>0</v>
      </c>
      <c r="AC18" s="399">
        <v>0</v>
      </c>
      <c r="AD18" s="399">
        <v>81.90354261742462</v>
      </c>
      <c r="AE18" s="399">
        <v>164.91932097023056</v>
      </c>
      <c r="AF18" s="399">
        <v>245.32445814837394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7.721611221901016</v>
      </c>
      <c r="AM18" s="399"/>
      <c r="AN18" s="399">
        <v>0.73367883559191072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20.446574117291988</v>
      </c>
      <c r="BH18" s="399">
        <v>0</v>
      </c>
      <c r="BI18" s="399">
        <v>0</v>
      </c>
      <c r="BJ18" s="399">
        <v>0</v>
      </c>
      <c r="BK18" s="399">
        <v>182.32</v>
      </c>
      <c r="BL18" s="399">
        <v>17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265.77103226566589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503.60299999999995</v>
      </c>
      <c r="CJ18" s="399">
        <v>-67.417800000000057</v>
      </c>
      <c r="CK18" s="399"/>
      <c r="CL18" s="399"/>
      <c r="CM18" s="399"/>
      <c r="CN18" s="399"/>
      <c r="CO18" s="399">
        <v>-75.461920000000035</v>
      </c>
      <c r="CP18" s="399">
        <v>10.530719999999977</v>
      </c>
      <c r="CQ18" s="399">
        <v>30</v>
      </c>
      <c r="CR18" s="399">
        <v>20.323113405057313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-0.63119364881545437</v>
      </c>
      <c r="DA18" s="399">
        <v>0</v>
      </c>
      <c r="DB18" s="399">
        <v>0</v>
      </c>
      <c r="DC18" s="399">
        <v>10.526966501525749</v>
      </c>
      <c r="DD18" s="399">
        <v>0</v>
      </c>
      <c r="DE18" s="399">
        <v>0</v>
      </c>
      <c r="DF18" s="399">
        <v>0</v>
      </c>
      <c r="DG18" s="399">
        <v>0.87737033000398412</v>
      </c>
      <c r="DH18" s="399">
        <v>0</v>
      </c>
      <c r="DI18" s="399">
        <v>8.3379914287815353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1.1245223036909486</v>
      </c>
      <c r="DP18" s="399">
        <v>8.7456489870515686E-2</v>
      </c>
      <c r="DQ18" s="399">
        <v>0</v>
      </c>
      <c r="DR18" s="399">
        <v>0</v>
      </c>
      <c r="DS18" s="399"/>
      <c r="DT18" s="399"/>
      <c r="DU18" s="399"/>
      <c r="DV18" s="399">
        <v>164.91932097023056</v>
      </c>
      <c r="DW18" s="399">
        <v>0</v>
      </c>
      <c r="DX18" s="399">
        <v>0</v>
      </c>
      <c r="DY18" s="399">
        <v>-75.461920000000021</v>
      </c>
      <c r="DZ18" s="399">
        <v>10.530719999999974</v>
      </c>
      <c r="EA18" s="399">
        <v>0</v>
      </c>
      <c r="EB18" s="399">
        <v>0</v>
      </c>
      <c r="EC18" s="399">
        <v>-85.260985470961501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232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2328</v>
      </c>
      <c r="D19" s="399" t="s">
        <v>2337</v>
      </c>
      <c r="E19" s="399" t="s">
        <v>2338</v>
      </c>
      <c r="F19" s="399" t="s">
        <v>2339</v>
      </c>
      <c r="G19" s="399" t="s">
        <v>1239</v>
      </c>
      <c r="H19" s="399" t="s">
        <v>1239</v>
      </c>
      <c r="I19" s="399" t="s">
        <v>1239</v>
      </c>
      <c r="J19" s="399" t="s">
        <v>2326</v>
      </c>
      <c r="K19" s="788">
        <v>44440</v>
      </c>
      <c r="L19" s="399">
        <v>0</v>
      </c>
      <c r="M19" s="399">
        <v>0</v>
      </c>
      <c r="N19" s="399">
        <v>20.414000000000001</v>
      </c>
      <c r="O19" s="399">
        <v>20.414000000000001</v>
      </c>
      <c r="P19" s="399">
        <v>20.414000000000001</v>
      </c>
      <c r="Q19" s="399">
        <v>20.414000000000001</v>
      </c>
      <c r="R19" s="399"/>
      <c r="S19" s="399">
        <v>217.38</v>
      </c>
      <c r="T19" s="399">
        <v>163.75</v>
      </c>
      <c r="U19" s="399"/>
      <c r="V19" s="399">
        <v>7780.3878199999999</v>
      </c>
      <c r="W19" s="399">
        <v>7780.3878199999999</v>
      </c>
      <c r="X19" s="399">
        <v>6895.4409200000009</v>
      </c>
      <c r="Y19" s="399">
        <v>0</v>
      </c>
      <c r="Z19" s="399">
        <v>680.5290670175923</v>
      </c>
      <c r="AA19" s="399">
        <v>0</v>
      </c>
      <c r="AB19" s="399">
        <v>0</v>
      </c>
      <c r="AC19" s="399">
        <v>0</v>
      </c>
      <c r="AD19" s="399">
        <v>1116.005346414634</v>
      </c>
      <c r="AE19" s="399">
        <v>2247.1658495842967</v>
      </c>
      <c r="AF19" s="399">
        <v>3342.7541489714768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105.21351251958492</v>
      </c>
      <c r="AM19" s="399"/>
      <c r="AN19" s="399">
        <v>9.9969974057952538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278.60194201058175</v>
      </c>
      <c r="BH19" s="399">
        <v>0</v>
      </c>
      <c r="BI19" s="399">
        <v>0</v>
      </c>
      <c r="BJ19" s="399">
        <v>0</v>
      </c>
      <c r="BK19" s="399">
        <v>2989.55</v>
      </c>
      <c r="BL19" s="399">
        <v>1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3621.3560909820585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6894.0897999999997</v>
      </c>
      <c r="CJ19" s="399">
        <v>-886.32802000000083</v>
      </c>
      <c r="CK19" s="399"/>
      <c r="CL19" s="399"/>
      <c r="CM19" s="399"/>
      <c r="CN19" s="399"/>
      <c r="CO19" s="399">
        <v>-1028.2531800000002</v>
      </c>
      <c r="CP19" s="399">
        <v>143.30628000000021</v>
      </c>
      <c r="CQ19" s="399">
        <v>30</v>
      </c>
      <c r="CR19" s="399">
        <v>276.91968492471733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-8.6005496733068867</v>
      </c>
      <c r="DA19" s="399">
        <v>0</v>
      </c>
      <c r="DB19" s="399">
        <v>0</v>
      </c>
      <c r="DC19" s="399">
        <v>143.43886139464166</v>
      </c>
      <c r="DD19" s="399">
        <v>0</v>
      </c>
      <c r="DE19" s="399">
        <v>0</v>
      </c>
      <c r="DF19" s="399">
        <v>0</v>
      </c>
      <c r="DG19" s="399">
        <v>11.954916085176876</v>
      </c>
      <c r="DH19" s="399">
        <v>0</v>
      </c>
      <c r="DI19" s="399">
        <v>113.61221646229353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15.322571685863196</v>
      </c>
      <c r="DP19" s="399">
        <v>1.1916689700475676</v>
      </c>
      <c r="DQ19" s="399">
        <v>0</v>
      </c>
      <c r="DR19" s="399">
        <v>0</v>
      </c>
      <c r="DS19" s="399"/>
      <c r="DT19" s="399"/>
      <c r="DU19" s="399"/>
      <c r="DV19" s="399">
        <v>2247.1658495842967</v>
      </c>
      <c r="DW19" s="399">
        <v>0</v>
      </c>
      <c r="DX19" s="399">
        <v>0</v>
      </c>
      <c r="DY19" s="399">
        <v>-1028.2531800000002</v>
      </c>
      <c r="DZ19" s="399">
        <v>143.30628000000024</v>
      </c>
      <c r="EA19" s="399">
        <v>0</v>
      </c>
      <c r="EB19" s="399">
        <v>0</v>
      </c>
      <c r="EC19" s="399">
        <v>-1161.7533574906756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232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2328</v>
      </c>
      <c r="D20" s="399" t="s">
        <v>1824</v>
      </c>
      <c r="E20" s="399" t="s">
        <v>921</v>
      </c>
      <c r="F20" s="399" t="s">
        <v>2327</v>
      </c>
      <c r="G20" s="399" t="s">
        <v>1239</v>
      </c>
      <c r="H20" s="399" t="s">
        <v>1239</v>
      </c>
      <c r="I20" s="399" t="s">
        <v>1239</v>
      </c>
      <c r="J20" s="399" t="s">
        <v>2326</v>
      </c>
      <c r="K20" s="788">
        <v>44440</v>
      </c>
      <c r="L20" s="399">
        <v>0</v>
      </c>
      <c r="M20" s="399">
        <v>0</v>
      </c>
      <c r="N20" s="399">
        <v>0.79900000000000004</v>
      </c>
      <c r="O20" s="399">
        <v>0.75105999999999995</v>
      </c>
      <c r="P20" s="399">
        <v>0.79900000000000004</v>
      </c>
      <c r="Q20" s="399">
        <v>0.75105999999999995</v>
      </c>
      <c r="R20" s="399"/>
      <c r="S20" s="399">
        <v>395.23</v>
      </c>
      <c r="T20" s="399">
        <v>297.72000000000003</v>
      </c>
      <c r="U20" s="399"/>
      <c r="V20" s="399">
        <v>553.66705000000013</v>
      </c>
      <c r="W20" s="399">
        <v>553.66705000000013</v>
      </c>
      <c r="X20" s="399">
        <v>490.70585</v>
      </c>
      <c r="Y20" s="399">
        <v>0</v>
      </c>
      <c r="Z20" s="399">
        <v>48.428683038116098</v>
      </c>
      <c r="AA20" s="399">
        <v>0</v>
      </c>
      <c r="AB20" s="399">
        <v>0</v>
      </c>
      <c r="AC20" s="399">
        <v>0</v>
      </c>
      <c r="AD20" s="399">
        <v>79.418605038012473</v>
      </c>
      <c r="AE20" s="399">
        <v>159.91570079516291</v>
      </c>
      <c r="AF20" s="399">
        <v>237.88136172396943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7.4873390367705248</v>
      </c>
      <c r="AM20" s="399"/>
      <c r="AN20" s="399">
        <v>0.71141916218196211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19.826229028781921</v>
      </c>
      <c r="BH20" s="399">
        <v>0</v>
      </c>
      <c r="BI20" s="399">
        <v>0</v>
      </c>
      <c r="BJ20" s="399">
        <v>0</v>
      </c>
      <c r="BK20" s="399">
        <v>177.17</v>
      </c>
      <c r="BL20" s="399">
        <v>2</v>
      </c>
      <c r="BM20" s="399"/>
      <c r="BN20" s="399"/>
      <c r="BO20" s="399"/>
      <c r="BP20" s="399"/>
      <c r="BQ20" s="399">
        <v>29.442351000000055</v>
      </c>
      <c r="BR20" s="399"/>
      <c r="BS20" s="399"/>
      <c r="BT20" s="399"/>
      <c r="BU20" s="399"/>
      <c r="BV20" s="399">
        <v>257.70759075275134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460.61249999999995</v>
      </c>
      <c r="CJ20" s="399">
        <v>-59.864526999999953</v>
      </c>
      <c r="CK20" s="399"/>
      <c r="CL20" s="399"/>
      <c r="CM20" s="399"/>
      <c r="CN20" s="399"/>
      <c r="CO20" s="399">
        <v>-73.172420000000031</v>
      </c>
      <c r="CP20" s="399">
        <v>10.21121999999998</v>
      </c>
      <c r="CQ20" s="399">
        <v>30</v>
      </c>
      <c r="CR20" s="399">
        <v>19.706514090583369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-0.61204335607226312</v>
      </c>
      <c r="DA20" s="399">
        <v>0</v>
      </c>
      <c r="DB20" s="399">
        <v>0</v>
      </c>
      <c r="DC20" s="399">
        <v>10.207580381940602</v>
      </c>
      <c r="DD20" s="399">
        <v>0</v>
      </c>
      <c r="DE20" s="399">
        <v>0</v>
      </c>
      <c r="DF20" s="399">
        <v>0</v>
      </c>
      <c r="DG20" s="399">
        <v>0.85075108455483317</v>
      </c>
      <c r="DH20" s="399">
        <v>0</v>
      </c>
      <c r="DI20" s="399">
        <v>8.0850183878597619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1.0904045153508104</v>
      </c>
      <c r="DP20" s="399">
        <v>8.4803076949686917E-2</v>
      </c>
      <c r="DQ20" s="399">
        <v>0</v>
      </c>
      <c r="DR20" s="399">
        <v>0</v>
      </c>
      <c r="DS20" s="399"/>
      <c r="DT20" s="399"/>
      <c r="DU20" s="399"/>
      <c r="DV20" s="399">
        <v>159.91570079516291</v>
      </c>
      <c r="DW20" s="399">
        <v>0</v>
      </c>
      <c r="DX20" s="399">
        <v>0</v>
      </c>
      <c r="DY20" s="399">
        <v>-73.172420000000074</v>
      </c>
      <c r="DZ20" s="399">
        <v>10.211219999999969</v>
      </c>
      <c r="EA20" s="399">
        <v>0</v>
      </c>
      <c r="EB20" s="399">
        <v>0</v>
      </c>
      <c r="EC20" s="399">
        <v>-82.674183727303699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232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2328</v>
      </c>
      <c r="D21" s="399" t="s">
        <v>2335</v>
      </c>
      <c r="E21" s="399" t="s">
        <v>894</v>
      </c>
      <c r="F21" s="399" t="s">
        <v>2367</v>
      </c>
      <c r="G21" s="399" t="s">
        <v>2368</v>
      </c>
      <c r="H21" s="399" t="s">
        <v>1239</v>
      </c>
      <c r="I21" s="399" t="s">
        <v>1239</v>
      </c>
      <c r="J21" s="399" t="s">
        <v>2326</v>
      </c>
      <c r="K21" s="788">
        <v>44440</v>
      </c>
      <c r="L21" s="399">
        <v>0</v>
      </c>
      <c r="M21" s="399">
        <v>0</v>
      </c>
      <c r="N21" s="399">
        <v>0</v>
      </c>
      <c r="O21" s="399">
        <v>0</v>
      </c>
      <c r="P21" s="399">
        <v>0</v>
      </c>
      <c r="Q21" s="399">
        <v>0</v>
      </c>
      <c r="R21" s="399"/>
      <c r="S21" s="399"/>
      <c r="T21" s="399"/>
      <c r="U21" s="399"/>
      <c r="V21" s="399"/>
      <c r="W21" s="399"/>
      <c r="X21" s="399"/>
      <c r="Y21" s="399"/>
      <c r="Z21" s="399"/>
      <c r="AA21" s="399">
        <v>0</v>
      </c>
      <c r="AB21" s="399"/>
      <c r="AC21" s="399"/>
      <c r="AD21" s="399"/>
      <c r="AE21" s="399"/>
      <c r="AF21" s="399"/>
      <c r="AG21" s="399"/>
      <c r="AH21" s="399"/>
      <c r="AI21" s="399"/>
      <c r="AJ21" s="399"/>
      <c r="AK21" s="399"/>
      <c r="AL21" s="399"/>
      <c r="AM21" s="399"/>
      <c r="AN21" s="399"/>
      <c r="AO21" s="399"/>
      <c r="AP21" s="399"/>
      <c r="AQ21" s="399"/>
      <c r="AR21" s="399"/>
      <c r="AS21" s="399"/>
      <c r="AT21" s="399"/>
      <c r="AU21" s="399"/>
      <c r="AV21" s="399"/>
      <c r="AW21" s="399"/>
      <c r="AX21" s="399"/>
      <c r="AY21" s="399"/>
      <c r="AZ21" s="399">
        <v>0</v>
      </c>
      <c r="BA21" s="399"/>
      <c r="BB21" s="399"/>
      <c r="BC21" s="399"/>
      <c r="BD21" s="399"/>
      <c r="BE21" s="399"/>
      <c r="BF21" s="399"/>
      <c r="BG21" s="399"/>
      <c r="BH21" s="399"/>
      <c r="BI21" s="399">
        <v>0</v>
      </c>
      <c r="BJ21" s="399">
        <v>0</v>
      </c>
      <c r="BK21" s="399">
        <v>9.07</v>
      </c>
      <c r="BL21" s="399">
        <v>1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/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/>
      <c r="CJ21" s="399">
        <v>-0.03</v>
      </c>
      <c r="CK21" s="399"/>
      <c r="CL21" s="399"/>
      <c r="CM21" s="399"/>
      <c r="CN21" s="399"/>
      <c r="CO21" s="399">
        <v>0</v>
      </c>
      <c r="CP21" s="399">
        <v>0</v>
      </c>
      <c r="CQ21" s="399">
        <v>30</v>
      </c>
      <c r="CR21" s="399"/>
      <c r="CS21" s="399"/>
      <c r="CT21" s="399"/>
      <c r="CU21" s="399"/>
      <c r="CV21" s="399"/>
      <c r="CW21" s="399"/>
      <c r="CX21" s="399"/>
      <c r="CY21" s="399"/>
      <c r="CZ21" s="399"/>
      <c r="DA21" s="399"/>
      <c r="DB21" s="399"/>
      <c r="DC21" s="399"/>
      <c r="DD21" s="399"/>
      <c r="DE21" s="399"/>
      <c r="DF21" s="399"/>
      <c r="DG21" s="399"/>
      <c r="DH21" s="399"/>
      <c r="DI21" s="399"/>
      <c r="DJ21" s="399"/>
      <c r="DK21" s="399">
        <v>0</v>
      </c>
      <c r="DL21" s="399"/>
      <c r="DM21" s="399"/>
      <c r="DN21" s="399"/>
      <c r="DO21" s="399"/>
      <c r="DP21" s="399"/>
      <c r="DQ21" s="399"/>
      <c r="DR21" s="399"/>
      <c r="DS21" s="399"/>
      <c r="DT21" s="399"/>
      <c r="DU21" s="399"/>
      <c r="DV21" s="399"/>
      <c r="DW21" s="399"/>
      <c r="DX21" s="399"/>
      <c r="DY21" s="399"/>
      <c r="DZ21" s="399"/>
      <c r="EA21" s="399"/>
      <c r="EB21" s="399"/>
      <c r="EC21" s="399"/>
      <c r="ED21" s="399"/>
      <c r="EE21" s="399"/>
      <c r="EF21" s="399"/>
      <c r="EG21" s="399"/>
      <c r="EH21" s="399"/>
      <c r="EI21" s="399"/>
      <c r="EJ21" s="399"/>
      <c r="EK21" s="399"/>
      <c r="EL21" s="399"/>
      <c r="EM21" s="399"/>
      <c r="EN21" s="399"/>
      <c r="EO21" s="399"/>
      <c r="EP21" s="399"/>
      <c r="EQ21" s="399"/>
      <c r="ER21" s="399"/>
      <c r="ES21" s="399"/>
      <c r="ET21" s="399"/>
      <c r="EU21" s="399"/>
      <c r="EV21" s="399">
        <v>232</v>
      </c>
      <c r="EW21" s="399"/>
      <c r="EX21" s="399"/>
      <c r="EY21" s="399"/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2328</v>
      </c>
      <c r="D22" s="399" t="s">
        <v>2335</v>
      </c>
      <c r="E22" s="399" t="s">
        <v>894</v>
      </c>
      <c r="F22" s="399" t="s">
        <v>2367</v>
      </c>
      <c r="G22" s="399" t="s">
        <v>2368</v>
      </c>
      <c r="H22" s="399" t="s">
        <v>1239</v>
      </c>
      <c r="I22" s="399" t="s">
        <v>1239</v>
      </c>
      <c r="J22" s="399" t="s">
        <v>2326</v>
      </c>
      <c r="K22" s="788">
        <v>44440</v>
      </c>
      <c r="L22" s="399">
        <v>0</v>
      </c>
      <c r="M22" s="399">
        <v>0</v>
      </c>
      <c r="N22" s="399">
        <v>9.4E-2</v>
      </c>
      <c r="O22" s="399">
        <v>9.4E-2</v>
      </c>
      <c r="P22" s="399">
        <v>9.4E-2</v>
      </c>
      <c r="Q22" s="399">
        <v>9.4E-2</v>
      </c>
      <c r="R22" s="399"/>
      <c r="S22" s="399">
        <v>395.23</v>
      </c>
      <c r="T22" s="399">
        <v>297.72000000000003</v>
      </c>
      <c r="U22" s="399"/>
      <c r="V22" s="399">
        <v>65.13730000000001</v>
      </c>
      <c r="W22" s="399">
        <v>65.13730000000001</v>
      </c>
      <c r="X22" s="399">
        <v>57.7301</v>
      </c>
      <c r="Y22" s="399">
        <v>0</v>
      </c>
      <c r="Z22" s="399">
        <v>5.6974921221313055</v>
      </c>
      <c r="AA22" s="399">
        <v>0</v>
      </c>
      <c r="AB22" s="399">
        <v>0</v>
      </c>
      <c r="AC22" s="399">
        <v>0</v>
      </c>
      <c r="AD22" s="399">
        <v>9.3433652985897027</v>
      </c>
      <c r="AE22" s="399">
        <v>18.813611858254458</v>
      </c>
      <c r="AF22" s="399">
        <v>27.986042555761106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0.88086341609064989</v>
      </c>
      <c r="AM22" s="399"/>
      <c r="AN22" s="399">
        <v>8.3696372021407298E-2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2.3324975327978725</v>
      </c>
      <c r="BH22" s="399">
        <v>0</v>
      </c>
      <c r="BI22" s="399">
        <v>0</v>
      </c>
      <c r="BJ22" s="399">
        <v>0</v>
      </c>
      <c r="BK22" s="399">
        <v>0</v>
      </c>
      <c r="BL22" s="399">
        <v>0</v>
      </c>
      <c r="BM22" s="399"/>
      <c r="BN22" s="399"/>
      <c r="BO22" s="399"/>
      <c r="BP22" s="399"/>
      <c r="BQ22" s="399"/>
      <c r="BR22" s="399">
        <v>8.069899999999997</v>
      </c>
      <c r="BS22" s="399"/>
      <c r="BT22" s="399"/>
      <c r="BU22" s="399"/>
      <c r="BV22" s="399">
        <v>30.318540088558979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47.546999999999997</v>
      </c>
      <c r="CJ22" s="399">
        <v>-8.3180600000000098</v>
      </c>
      <c r="CK22" s="399"/>
      <c r="CL22" s="399"/>
      <c r="CM22" s="399"/>
      <c r="CN22" s="399"/>
      <c r="CO22" s="399">
        <v>-8.6085200000000039</v>
      </c>
      <c r="CP22" s="399">
        <v>1.2013199999999975</v>
      </c>
      <c r="CQ22" s="399">
        <v>30</v>
      </c>
      <c r="CR22" s="399">
        <v>2.3184134224215853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-7.2005100714385151E-2</v>
      </c>
      <c r="DA22" s="399">
        <v>0</v>
      </c>
      <c r="DB22" s="399">
        <v>0</v>
      </c>
      <c r="DC22" s="399">
        <v>1.2008918096400727</v>
      </c>
      <c r="DD22" s="399">
        <v>0</v>
      </c>
      <c r="DE22" s="399">
        <v>0</v>
      </c>
      <c r="DF22" s="399">
        <v>0</v>
      </c>
      <c r="DG22" s="399">
        <v>0.10008836288880429</v>
      </c>
      <c r="DH22" s="399">
        <v>0</v>
      </c>
      <c r="DI22" s="399">
        <v>0.95117863386585455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0.12828288415891898</v>
      </c>
      <c r="DP22" s="399">
        <v>9.976832582316103E-3</v>
      </c>
      <c r="DQ22" s="399">
        <v>0</v>
      </c>
      <c r="DR22" s="399">
        <v>0</v>
      </c>
      <c r="DS22" s="399"/>
      <c r="DT22" s="399"/>
      <c r="DU22" s="399"/>
      <c r="DV22" s="399">
        <v>18.813611858254458</v>
      </c>
      <c r="DW22" s="399">
        <v>0</v>
      </c>
      <c r="DX22" s="399">
        <v>0</v>
      </c>
      <c r="DY22" s="399">
        <v>-8.6085200000000022</v>
      </c>
      <c r="DZ22" s="399">
        <v>1.2013199999999991</v>
      </c>
      <c r="EA22" s="399">
        <v>0</v>
      </c>
      <c r="EB22" s="399">
        <v>0</v>
      </c>
      <c r="EC22" s="399">
        <v>-9.7263745561533739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232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2328</v>
      </c>
      <c r="D23" s="399" t="s">
        <v>2335</v>
      </c>
      <c r="E23" s="399" t="s">
        <v>894</v>
      </c>
      <c r="F23" s="399" t="s">
        <v>2367</v>
      </c>
      <c r="G23" s="399" t="s">
        <v>2369</v>
      </c>
      <c r="H23" s="399" t="s">
        <v>1239</v>
      </c>
      <c r="I23" s="399" t="s">
        <v>1239</v>
      </c>
      <c r="J23" s="399" t="s">
        <v>2326</v>
      </c>
      <c r="K23" s="788">
        <v>44440</v>
      </c>
      <c r="L23" s="399">
        <v>0</v>
      </c>
      <c r="M23" s="399">
        <v>0</v>
      </c>
      <c r="N23" s="399">
        <v>6.0000000000000001E-3</v>
      </c>
      <c r="O23" s="399">
        <v>2.3999999999999998E-3</v>
      </c>
      <c r="P23" s="399">
        <v>6.0000000000000001E-3</v>
      </c>
      <c r="Q23" s="399">
        <v>2.3999999999999998E-3</v>
      </c>
      <c r="R23" s="399"/>
      <c r="S23" s="399">
        <v>395.23</v>
      </c>
      <c r="T23" s="399">
        <v>297.72000000000003</v>
      </c>
      <c r="U23" s="399"/>
      <c r="V23" s="399">
        <v>4.1577000000000002</v>
      </c>
      <c r="W23" s="399">
        <v>4.1577000000000002</v>
      </c>
      <c r="X23" s="399">
        <v>3.6848999999999998</v>
      </c>
      <c r="Y23" s="399">
        <v>0</v>
      </c>
      <c r="Z23" s="399">
        <v>0.3636697099232748</v>
      </c>
      <c r="AA23" s="399">
        <v>0</v>
      </c>
      <c r="AB23" s="399">
        <v>0</v>
      </c>
      <c r="AC23" s="399">
        <v>0</v>
      </c>
      <c r="AD23" s="399">
        <v>0.59638501905891717</v>
      </c>
      <c r="AE23" s="399">
        <v>1.2008688420162421</v>
      </c>
      <c r="AF23" s="399">
        <v>1.7863431418570921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5.6225324431318079E-2</v>
      </c>
      <c r="AM23" s="399"/>
      <c r="AN23" s="399">
        <v>5.3423216183877001E-3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0.14888282124241742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>
        <v>2.4169800000000001</v>
      </c>
      <c r="BT23" s="399"/>
      <c r="BU23" s="399"/>
      <c r="BV23" s="399">
        <v>1.9352259630995094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0</v>
      </c>
      <c r="CJ23" s="399">
        <v>-1.455576</v>
      </c>
      <c r="CK23" s="399"/>
      <c r="CL23" s="399"/>
      <c r="CM23" s="399"/>
      <c r="CN23" s="399"/>
      <c r="CO23" s="399">
        <v>-0.5494800000000003</v>
      </c>
      <c r="CP23" s="399">
        <v>7.6679999999999832E-2</v>
      </c>
      <c r="CQ23" s="399">
        <v>30</v>
      </c>
      <c r="CR23" s="399">
        <v>0.14798383547371774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-4.5960702583649482E-3</v>
      </c>
      <c r="DA23" s="399">
        <v>0</v>
      </c>
      <c r="DB23" s="399">
        <v>0</v>
      </c>
      <c r="DC23" s="399">
        <v>7.6652668700430082E-2</v>
      </c>
      <c r="DD23" s="399">
        <v>0</v>
      </c>
      <c r="DE23" s="399">
        <v>0</v>
      </c>
      <c r="DF23" s="399">
        <v>0</v>
      </c>
      <c r="DG23" s="399">
        <v>6.3886189077959898E-3</v>
      </c>
      <c r="DH23" s="399">
        <v>0</v>
      </c>
      <c r="DI23" s="399">
        <v>6.0713529821224799E-2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8.1882692016331179E-3</v>
      </c>
      <c r="DP23" s="399">
        <v>6.3681910099890049E-4</v>
      </c>
      <c r="DQ23" s="399">
        <v>0</v>
      </c>
      <c r="DR23" s="399">
        <v>0</v>
      </c>
      <c r="DS23" s="399"/>
      <c r="DT23" s="399"/>
      <c r="DU23" s="399"/>
      <c r="DV23" s="399">
        <v>1.2008688420162421</v>
      </c>
      <c r="DW23" s="399">
        <v>0</v>
      </c>
      <c r="DX23" s="399">
        <v>0</v>
      </c>
      <c r="DY23" s="399">
        <v>-0.54948000000000041</v>
      </c>
      <c r="DZ23" s="399">
        <v>7.6679999999999859E-2</v>
      </c>
      <c r="EA23" s="399">
        <v>0</v>
      </c>
      <c r="EB23" s="399">
        <v>0</v>
      </c>
      <c r="EC23" s="399">
        <v>-0.62083241847787507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232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2328</v>
      </c>
      <c r="D24" s="399" t="s">
        <v>1821</v>
      </c>
      <c r="E24" s="399" t="s">
        <v>889</v>
      </c>
      <c r="F24" s="399" t="s">
        <v>889</v>
      </c>
      <c r="G24" s="399" t="s">
        <v>1239</v>
      </c>
      <c r="H24" s="399" t="s">
        <v>1239</v>
      </c>
      <c r="I24" s="399" t="s">
        <v>1239</v>
      </c>
      <c r="J24" s="399" t="s">
        <v>2326</v>
      </c>
      <c r="K24" s="788">
        <v>44470</v>
      </c>
      <c r="L24" s="399">
        <v>0</v>
      </c>
      <c r="M24" s="399">
        <v>0</v>
      </c>
      <c r="N24" s="399">
        <v>37.901000000000003</v>
      </c>
      <c r="O24" s="399">
        <v>37.901000000000003</v>
      </c>
      <c r="P24" s="399">
        <v>37.901000000000003</v>
      </c>
      <c r="Q24" s="399">
        <v>37.901000000000003</v>
      </c>
      <c r="R24" s="399"/>
      <c r="S24" s="399">
        <v>395.23</v>
      </c>
      <c r="T24" s="399">
        <v>297.72000000000003</v>
      </c>
      <c r="U24" s="399"/>
      <c r="V24" s="399">
        <v>26263.497950000004</v>
      </c>
      <c r="W24" s="399">
        <v>26263.497950000004</v>
      </c>
      <c r="X24" s="399">
        <v>23276.899150000001</v>
      </c>
      <c r="Y24" s="399">
        <v>0</v>
      </c>
      <c r="Z24" s="399">
        <v>2297.2409459670066</v>
      </c>
      <c r="AA24" s="399">
        <v>0</v>
      </c>
      <c r="AB24" s="399">
        <v>0</v>
      </c>
      <c r="AC24" s="399">
        <v>0</v>
      </c>
      <c r="AD24" s="399">
        <v>3767.2647678920039</v>
      </c>
      <c r="AE24" s="399">
        <v>7585.6883302095994</v>
      </c>
      <c r="AF24" s="399">
        <v>11284.031903254274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355.16600354523109</v>
      </c>
      <c r="AM24" s="399"/>
      <c r="AN24" s="399">
        <v>33.746555276418704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940.46796798481046</v>
      </c>
      <c r="BH24" s="399">
        <v>0</v>
      </c>
      <c r="BI24" s="399">
        <v>0.28000000000000003</v>
      </c>
      <c r="BJ24" s="399">
        <v>1.31</v>
      </c>
      <c r="BK24" s="399">
        <v>5735.38</v>
      </c>
      <c r="BL24" s="399">
        <v>263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12224.499871239084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23276.284999999996</v>
      </c>
      <c r="CJ24" s="399">
        <v>-2987.2429500000071</v>
      </c>
      <c r="CK24" s="399"/>
      <c r="CL24" s="399"/>
      <c r="CM24" s="399"/>
      <c r="CN24" s="399"/>
      <c r="CO24" s="399">
        <v>-3470.9735800000017</v>
      </c>
      <c r="CP24" s="399">
        <v>484.37477999999902</v>
      </c>
      <c r="CQ24" s="399">
        <v>31</v>
      </c>
      <c r="CR24" s="399">
        <v>934.78922471490296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-29.032609810381928</v>
      </c>
      <c r="DA24" s="399">
        <v>0</v>
      </c>
      <c r="DB24" s="399">
        <v>0</v>
      </c>
      <c r="DC24" s="399">
        <v>484.20213273583431</v>
      </c>
      <c r="DD24" s="399">
        <v>0</v>
      </c>
      <c r="DE24" s="399">
        <v>0</v>
      </c>
      <c r="DF24" s="399">
        <v>0</v>
      </c>
      <c r="DG24" s="399">
        <v>40.355840870729367</v>
      </c>
      <c r="DH24" s="399">
        <v>0</v>
      </c>
      <c r="DI24" s="399">
        <v>383.51724895903999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51.723931835182839</v>
      </c>
      <c r="DP24" s="399">
        <v>4.0226801244932204</v>
      </c>
      <c r="DQ24" s="399">
        <v>0</v>
      </c>
      <c r="DR24" s="399">
        <v>0</v>
      </c>
      <c r="DS24" s="399"/>
      <c r="DT24" s="399"/>
      <c r="DU24" s="399"/>
      <c r="DV24" s="399">
        <v>7585.6883302095994</v>
      </c>
      <c r="DW24" s="399">
        <v>0</v>
      </c>
      <c r="DX24" s="399">
        <v>0</v>
      </c>
      <c r="DY24" s="399">
        <v>-3470.9735800000017</v>
      </c>
      <c r="DZ24" s="399">
        <v>484.37477999999828</v>
      </c>
      <c r="EA24" s="399">
        <v>0</v>
      </c>
      <c r="EB24" s="399">
        <v>0</v>
      </c>
      <c r="EC24" s="399">
        <v>-3921.6949154549911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232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2328</v>
      </c>
      <c r="D25" s="399" t="s">
        <v>1821</v>
      </c>
      <c r="E25" s="399" t="s">
        <v>889</v>
      </c>
      <c r="F25" s="399" t="s">
        <v>2331</v>
      </c>
      <c r="G25" s="399" t="s">
        <v>1239</v>
      </c>
      <c r="H25" s="399" t="s">
        <v>1239</v>
      </c>
      <c r="I25" s="399" t="s">
        <v>1239</v>
      </c>
      <c r="J25" s="399" t="s">
        <v>2326</v>
      </c>
      <c r="K25" s="788">
        <v>44470</v>
      </c>
      <c r="L25" s="399">
        <v>0</v>
      </c>
      <c r="M25" s="399">
        <v>0</v>
      </c>
      <c r="N25" s="399">
        <v>0.06</v>
      </c>
      <c r="O25" s="399">
        <v>0.06</v>
      </c>
      <c r="P25" s="399">
        <v>0.06</v>
      </c>
      <c r="Q25" s="399">
        <v>0.06</v>
      </c>
      <c r="R25" s="399"/>
      <c r="S25" s="399">
        <v>325.25</v>
      </c>
      <c r="T25" s="399">
        <v>297.72000000000003</v>
      </c>
      <c r="U25" s="399"/>
      <c r="V25" s="399">
        <v>37.378200000000007</v>
      </c>
      <c r="W25" s="399">
        <v>37.378200000000007</v>
      </c>
      <c r="X25" s="399">
        <v>31.960799999999999</v>
      </c>
      <c r="Y25" s="399">
        <v>0</v>
      </c>
      <c r="Z25" s="399">
        <v>0</v>
      </c>
      <c r="AA25" s="399">
        <v>0</v>
      </c>
      <c r="AB25" s="399">
        <v>0</v>
      </c>
      <c r="AC25" s="399">
        <v>0</v>
      </c>
      <c r="AD25" s="399">
        <v>5.9638501905891719</v>
      </c>
      <c r="AE25" s="399">
        <v>12.00868842016242</v>
      </c>
      <c r="AF25" s="399">
        <v>17.863431418570919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0</v>
      </c>
      <c r="AM25" s="399"/>
      <c r="AN25" s="399">
        <v>5.3423216183876999E-2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1.4888282124241741</v>
      </c>
      <c r="BH25" s="399">
        <v>0</v>
      </c>
      <c r="BI25" s="399">
        <v>0</v>
      </c>
      <c r="BJ25" s="399">
        <v>0</v>
      </c>
      <c r="BK25" s="399">
        <v>1.46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>
        <v>20.774999999999999</v>
      </c>
      <c r="BU25" s="399"/>
      <c r="BV25" s="399">
        <v>19.352259630995093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11.1858</v>
      </c>
      <c r="CJ25" s="399">
        <v>-1.9265999999999988</v>
      </c>
      <c r="CK25" s="399"/>
      <c r="CL25" s="399"/>
      <c r="CM25" s="399"/>
      <c r="CN25" s="399"/>
      <c r="CO25" s="399">
        <v>-6.1841999999999997</v>
      </c>
      <c r="CP25" s="399">
        <v>0.76679999999999837</v>
      </c>
      <c r="CQ25" s="399">
        <v>31</v>
      </c>
      <c r="CR25" s="399">
        <v>0.79082036450860116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-4.5960702583649926E-2</v>
      </c>
      <c r="DA25" s="399">
        <v>0</v>
      </c>
      <c r="DB25" s="399">
        <v>0</v>
      </c>
      <c r="DC25" s="399">
        <v>0.76652668700430127</v>
      </c>
      <c r="DD25" s="399">
        <v>0</v>
      </c>
      <c r="DE25" s="399">
        <v>0</v>
      </c>
      <c r="DF25" s="399">
        <v>0</v>
      </c>
      <c r="DG25" s="399">
        <v>6.3886189077959843E-2</v>
      </c>
      <c r="DH25" s="399">
        <v>0</v>
      </c>
      <c r="DI25" s="399">
        <v>0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0</v>
      </c>
      <c r="DP25" s="399">
        <v>6.368191009988998E-3</v>
      </c>
      <c r="DQ25" s="399">
        <v>0</v>
      </c>
      <c r="DR25" s="399">
        <v>0</v>
      </c>
      <c r="DS25" s="399"/>
      <c r="DT25" s="399"/>
      <c r="DU25" s="399"/>
      <c r="DV25" s="399">
        <v>12.00868842016242</v>
      </c>
      <c r="DW25" s="399">
        <v>0</v>
      </c>
      <c r="DX25" s="399">
        <v>0</v>
      </c>
      <c r="DY25" s="399">
        <v>-6.1842000000000006</v>
      </c>
      <c r="DZ25" s="399">
        <v>0.76679999999999637</v>
      </c>
      <c r="EA25" s="399">
        <v>0</v>
      </c>
      <c r="EB25" s="399">
        <v>0</v>
      </c>
      <c r="EC25" s="399">
        <v>-6.2083241847787498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232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2328</v>
      </c>
      <c r="D26" s="399" t="s">
        <v>1821</v>
      </c>
      <c r="E26" s="399" t="s">
        <v>889</v>
      </c>
      <c r="F26" s="399" t="s">
        <v>2332</v>
      </c>
      <c r="G26" s="399" t="s">
        <v>1239</v>
      </c>
      <c r="H26" s="399" t="s">
        <v>1239</v>
      </c>
      <c r="I26" s="399" t="s">
        <v>1239</v>
      </c>
      <c r="J26" s="399" t="s">
        <v>2326</v>
      </c>
      <c r="K26" s="788">
        <v>44470</v>
      </c>
      <c r="L26" s="399">
        <v>0</v>
      </c>
      <c r="M26" s="399">
        <v>0</v>
      </c>
      <c r="N26" s="399">
        <v>0.13300000000000001</v>
      </c>
      <c r="O26" s="399">
        <v>0.13300000000000001</v>
      </c>
      <c r="P26" s="399">
        <v>0.13300000000000001</v>
      </c>
      <c r="Q26" s="399">
        <v>0.13300000000000001</v>
      </c>
      <c r="R26" s="399"/>
      <c r="S26" s="399">
        <v>325.25</v>
      </c>
      <c r="T26" s="399">
        <v>297.72000000000003</v>
      </c>
      <c r="U26" s="399"/>
      <c r="V26" s="399">
        <v>82.855010000000007</v>
      </c>
      <c r="W26" s="399">
        <v>82.855010000000007</v>
      </c>
      <c r="X26" s="399">
        <v>70.846440000000001</v>
      </c>
      <c r="Y26" s="399">
        <v>0</v>
      </c>
      <c r="Z26" s="399">
        <v>0</v>
      </c>
      <c r="AA26" s="399">
        <v>0</v>
      </c>
      <c r="AB26" s="399">
        <v>0</v>
      </c>
      <c r="AC26" s="399">
        <v>0</v>
      </c>
      <c r="AD26" s="399">
        <v>13.219867922472664</v>
      </c>
      <c r="AE26" s="399">
        <v>26.619259331360034</v>
      </c>
      <c r="AF26" s="399">
        <v>39.597272977832205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0</v>
      </c>
      <c r="AM26" s="399"/>
      <c r="AN26" s="399">
        <v>0.11842146254092735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3.3002358708735859</v>
      </c>
      <c r="BH26" s="399">
        <v>0</v>
      </c>
      <c r="BI26" s="399">
        <v>0</v>
      </c>
      <c r="BJ26" s="399">
        <v>0</v>
      </c>
      <c r="BK26" s="399">
        <v>6.25</v>
      </c>
      <c r="BL26" s="399">
        <v>1</v>
      </c>
      <c r="BM26" s="399"/>
      <c r="BN26" s="399"/>
      <c r="BO26" s="399"/>
      <c r="BP26" s="399"/>
      <c r="BQ26" s="399"/>
      <c r="BR26" s="399"/>
      <c r="BS26" s="399"/>
      <c r="BT26" s="399">
        <v>28.33831</v>
      </c>
      <c r="BU26" s="399"/>
      <c r="BV26" s="399">
        <v>42.89750884870579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41.549300000000002</v>
      </c>
      <c r="CJ26" s="399">
        <v>-8.1934400000000025</v>
      </c>
      <c r="CK26" s="399"/>
      <c r="CL26" s="399"/>
      <c r="CM26" s="399"/>
      <c r="CN26" s="399"/>
      <c r="CO26" s="399">
        <v>-13.708309999999999</v>
      </c>
      <c r="CP26" s="399">
        <v>1.6997399999999965</v>
      </c>
      <c r="CQ26" s="399">
        <v>31</v>
      </c>
      <c r="CR26" s="399">
        <v>1.7529851413274002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-0.10187955739375631</v>
      </c>
      <c r="DA26" s="399">
        <v>0</v>
      </c>
      <c r="DB26" s="399">
        <v>0</v>
      </c>
      <c r="DC26" s="399">
        <v>1.6991341561928692</v>
      </c>
      <c r="DD26" s="399">
        <v>0</v>
      </c>
      <c r="DE26" s="399">
        <v>0</v>
      </c>
      <c r="DF26" s="399">
        <v>0</v>
      </c>
      <c r="DG26" s="399">
        <v>0.14161438578947783</v>
      </c>
      <c r="DH26" s="399">
        <v>0</v>
      </c>
      <c r="DI26" s="399">
        <v>0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0</v>
      </c>
      <c r="DP26" s="399">
        <v>1.4116156738808963E-2</v>
      </c>
      <c r="DQ26" s="399">
        <v>0</v>
      </c>
      <c r="DR26" s="399">
        <v>0</v>
      </c>
      <c r="DS26" s="399"/>
      <c r="DT26" s="399"/>
      <c r="DU26" s="399"/>
      <c r="DV26" s="399">
        <v>26.619259331360034</v>
      </c>
      <c r="DW26" s="399">
        <v>0</v>
      </c>
      <c r="DX26" s="399">
        <v>0</v>
      </c>
      <c r="DY26" s="399">
        <v>-13.708310000000001</v>
      </c>
      <c r="DZ26" s="399">
        <v>1.6997399999999985</v>
      </c>
      <c r="EA26" s="399">
        <v>0</v>
      </c>
      <c r="EB26" s="399">
        <v>0</v>
      </c>
      <c r="EC26" s="399">
        <v>-13.761785276259564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232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2328</v>
      </c>
      <c r="D27" s="399" t="s">
        <v>1821</v>
      </c>
      <c r="E27" s="399" t="s">
        <v>889</v>
      </c>
      <c r="F27" s="399" t="s">
        <v>2333</v>
      </c>
      <c r="G27" s="399" t="s">
        <v>1239</v>
      </c>
      <c r="H27" s="399" t="s">
        <v>1239</v>
      </c>
      <c r="I27" s="399" t="s">
        <v>1239</v>
      </c>
      <c r="J27" s="399" t="s">
        <v>2326</v>
      </c>
      <c r="K27" s="788">
        <v>44470</v>
      </c>
      <c r="L27" s="399">
        <v>0</v>
      </c>
      <c r="M27" s="399">
        <v>0</v>
      </c>
      <c r="N27" s="399">
        <v>0.106</v>
      </c>
      <c r="O27" s="399">
        <v>0.106</v>
      </c>
      <c r="P27" s="399">
        <v>0.106</v>
      </c>
      <c r="Q27" s="399">
        <v>0.106</v>
      </c>
      <c r="R27" s="399"/>
      <c r="S27" s="399">
        <v>325.25</v>
      </c>
      <c r="T27" s="399">
        <v>297.72000000000003</v>
      </c>
      <c r="U27" s="399"/>
      <c r="V27" s="399">
        <v>66.034819999999996</v>
      </c>
      <c r="W27" s="399">
        <v>66.034819999999996</v>
      </c>
      <c r="X27" s="399">
        <v>56.464079999999996</v>
      </c>
      <c r="Y27" s="399">
        <v>0</v>
      </c>
      <c r="Z27" s="399">
        <v>0</v>
      </c>
      <c r="AA27" s="399">
        <v>0</v>
      </c>
      <c r="AB27" s="399">
        <v>0</v>
      </c>
      <c r="AC27" s="399">
        <v>0</v>
      </c>
      <c r="AD27" s="399">
        <v>10.536135336707536</v>
      </c>
      <c r="AE27" s="399">
        <v>21.215349542286944</v>
      </c>
      <c r="AF27" s="399">
        <v>31.55872883947529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0</v>
      </c>
      <c r="AM27" s="399"/>
      <c r="AN27" s="399">
        <v>9.4381015258182696E-2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2.6302631752827073</v>
      </c>
      <c r="BH27" s="399">
        <v>0</v>
      </c>
      <c r="BI27" s="399">
        <v>0</v>
      </c>
      <c r="BJ27" s="399">
        <v>0</v>
      </c>
      <c r="BK27" s="399">
        <v>14.5</v>
      </c>
      <c r="BL27" s="399">
        <v>1</v>
      </c>
      <c r="BM27" s="399"/>
      <c r="BN27" s="399"/>
      <c r="BO27" s="399"/>
      <c r="BP27" s="399"/>
      <c r="BQ27" s="399"/>
      <c r="BR27" s="399"/>
      <c r="BS27" s="399"/>
      <c r="BT27" s="399">
        <v>5.6466200000000004</v>
      </c>
      <c r="BU27" s="399"/>
      <c r="BV27" s="399">
        <v>34.188992014758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52.735100000000003</v>
      </c>
      <c r="CJ27" s="399">
        <v>-6.725919999999995</v>
      </c>
      <c r="CK27" s="399"/>
      <c r="CL27" s="399"/>
      <c r="CM27" s="399"/>
      <c r="CN27" s="399"/>
      <c r="CO27" s="399">
        <v>-10.925419999999999</v>
      </c>
      <c r="CP27" s="399">
        <v>1.354679999999997</v>
      </c>
      <c r="CQ27" s="399">
        <v>31</v>
      </c>
      <c r="CR27" s="399">
        <v>1.3971159772985189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-8.1197241231114603E-2</v>
      </c>
      <c r="DA27" s="399">
        <v>0</v>
      </c>
      <c r="DB27" s="399">
        <v>0</v>
      </c>
      <c r="DC27" s="399">
        <v>1.3541971470409315</v>
      </c>
      <c r="DD27" s="399">
        <v>0</v>
      </c>
      <c r="DE27" s="399">
        <v>0</v>
      </c>
      <c r="DF27" s="399">
        <v>0</v>
      </c>
      <c r="DG27" s="399">
        <v>0.11286560070439622</v>
      </c>
      <c r="DH27" s="399">
        <v>0</v>
      </c>
      <c r="DI27" s="399">
        <v>0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0</v>
      </c>
      <c r="DP27" s="399">
        <v>1.1250470784313904E-2</v>
      </c>
      <c r="DQ27" s="399">
        <v>0</v>
      </c>
      <c r="DR27" s="399">
        <v>0</v>
      </c>
      <c r="DS27" s="399"/>
      <c r="DT27" s="399"/>
      <c r="DU27" s="399"/>
      <c r="DV27" s="399">
        <v>21.215349542286944</v>
      </c>
      <c r="DW27" s="399">
        <v>0</v>
      </c>
      <c r="DX27" s="399">
        <v>0</v>
      </c>
      <c r="DY27" s="399">
        <v>-10.925420000000003</v>
      </c>
      <c r="DZ27" s="399">
        <v>1.3546799999999948</v>
      </c>
      <c r="EA27" s="399">
        <v>0</v>
      </c>
      <c r="EB27" s="399">
        <v>0</v>
      </c>
      <c r="EC27" s="399">
        <v>-10.968039393109127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232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2328</v>
      </c>
      <c r="D28" s="399" t="s">
        <v>1824</v>
      </c>
      <c r="E28" s="399" t="s">
        <v>890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2326</v>
      </c>
      <c r="K28" s="788">
        <v>44470</v>
      </c>
      <c r="L28" s="399">
        <v>0</v>
      </c>
      <c r="M28" s="399">
        <v>0</v>
      </c>
      <c r="N28" s="399">
        <v>0.36199999999999999</v>
      </c>
      <c r="O28" s="399">
        <v>0.36199999999999999</v>
      </c>
      <c r="P28" s="399">
        <v>0.36199999999999999</v>
      </c>
      <c r="Q28" s="399">
        <v>0.36199999999999999</v>
      </c>
      <c r="R28" s="399"/>
      <c r="S28" s="399">
        <v>395.23</v>
      </c>
      <c r="T28" s="399">
        <v>297.72000000000003</v>
      </c>
      <c r="U28" s="399"/>
      <c r="V28" s="399">
        <v>250.84790000000001</v>
      </c>
      <c r="W28" s="399">
        <v>250.84790000000001</v>
      </c>
      <c r="X28" s="399">
        <v>222.32229999999998</v>
      </c>
      <c r="Y28" s="399">
        <v>0</v>
      </c>
      <c r="Z28" s="399">
        <v>21.941405832037578</v>
      </c>
      <c r="AA28" s="399">
        <v>0</v>
      </c>
      <c r="AB28" s="399">
        <v>0</v>
      </c>
      <c r="AC28" s="399">
        <v>0</v>
      </c>
      <c r="AD28" s="399">
        <v>35.981896149888001</v>
      </c>
      <c r="AE28" s="399">
        <v>72.452420134979931</v>
      </c>
      <c r="AF28" s="399">
        <v>107.77603622537788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3.3922612406895238</v>
      </c>
      <c r="AM28" s="399"/>
      <c r="AN28" s="399">
        <v>0.32232007097605786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8.9825968816258506</v>
      </c>
      <c r="BH28" s="399">
        <v>0</v>
      </c>
      <c r="BI28" s="399">
        <v>0</v>
      </c>
      <c r="BJ28" s="399">
        <v>0</v>
      </c>
      <c r="BK28" s="399">
        <v>88.93</v>
      </c>
      <c r="BL28" s="399">
        <v>2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116.75863310700373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221.09399999999999</v>
      </c>
      <c r="CJ28" s="399">
        <v>-29.783899999999988</v>
      </c>
      <c r="CK28" s="399"/>
      <c r="CL28" s="399"/>
      <c r="CM28" s="399"/>
      <c r="CN28" s="399"/>
      <c r="CO28" s="399">
        <v>-33.151960000000017</v>
      </c>
      <c r="CP28" s="399">
        <v>4.6263599999999903</v>
      </c>
      <c r="CQ28" s="399">
        <v>31</v>
      </c>
      <c r="CR28" s="399">
        <v>8.9283580735809949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-0.2772962389213518</v>
      </c>
      <c r="DA28" s="399">
        <v>0</v>
      </c>
      <c r="DB28" s="399">
        <v>0</v>
      </c>
      <c r="DC28" s="399">
        <v>4.6247110115926091</v>
      </c>
      <c r="DD28" s="399">
        <v>0</v>
      </c>
      <c r="DE28" s="399">
        <v>0</v>
      </c>
      <c r="DF28" s="399">
        <v>0</v>
      </c>
      <c r="DG28" s="399">
        <v>0.38544667410369016</v>
      </c>
      <c r="DH28" s="399">
        <v>0</v>
      </c>
      <c r="DI28" s="399">
        <v>3.6630496325472279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0.49402557516519874</v>
      </c>
      <c r="DP28" s="399">
        <v>3.8421419093600362E-2</v>
      </c>
      <c r="DQ28" s="399">
        <v>0</v>
      </c>
      <c r="DR28" s="399">
        <v>0</v>
      </c>
      <c r="DS28" s="399"/>
      <c r="DT28" s="399"/>
      <c r="DU28" s="399"/>
      <c r="DV28" s="399">
        <v>72.452420134979931</v>
      </c>
      <c r="DW28" s="399">
        <v>0</v>
      </c>
      <c r="DX28" s="399">
        <v>0</v>
      </c>
      <c r="DY28" s="399">
        <v>-33.151960000000017</v>
      </c>
      <c r="DZ28" s="399">
        <v>4.6263599999999911</v>
      </c>
      <c r="EA28" s="399">
        <v>0</v>
      </c>
      <c r="EB28" s="399">
        <v>0</v>
      </c>
      <c r="EC28" s="399">
        <v>-37.456889248165126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232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2343</v>
      </c>
      <c r="D29" s="399" t="s">
        <v>533</v>
      </c>
      <c r="E29" s="399" t="s">
        <v>890</v>
      </c>
      <c r="F29" s="399" t="s">
        <v>1239</v>
      </c>
      <c r="G29" s="399" t="s">
        <v>1239</v>
      </c>
      <c r="H29" s="399" t="s">
        <v>1239</v>
      </c>
      <c r="I29" s="399" t="s">
        <v>893</v>
      </c>
      <c r="J29" s="399" t="s">
        <v>2326</v>
      </c>
      <c r="K29" s="788">
        <v>44470</v>
      </c>
      <c r="L29" s="399">
        <v>580</v>
      </c>
      <c r="M29" s="399">
        <v>580</v>
      </c>
      <c r="N29" s="399">
        <v>23.850999999999999</v>
      </c>
      <c r="O29" s="399">
        <v>23.850999999999999</v>
      </c>
      <c r="P29" s="399">
        <v>23.850999999999999</v>
      </c>
      <c r="Q29" s="399">
        <v>23.850999999999999</v>
      </c>
      <c r="R29" s="399">
        <v>78.569999999999993</v>
      </c>
      <c r="S29" s="399">
        <v>72.290000000000006</v>
      </c>
      <c r="T29" s="399">
        <v>297.72000000000003</v>
      </c>
      <c r="U29" s="399">
        <v>45570.6</v>
      </c>
      <c r="V29" s="399">
        <v>8825.1085100000018</v>
      </c>
      <c r="W29" s="399">
        <v>54395.708509999997</v>
      </c>
      <c r="X29" s="399">
        <v>40402.337440000003</v>
      </c>
      <c r="Y29" s="399">
        <v>0</v>
      </c>
      <c r="Z29" s="399">
        <v>1257.7135064501051</v>
      </c>
      <c r="AA29" s="399">
        <v>0</v>
      </c>
      <c r="AB29" s="399">
        <v>0</v>
      </c>
      <c r="AC29" s="399">
        <v>0</v>
      </c>
      <c r="AD29" s="399">
        <v>17679.468868093922</v>
      </c>
      <c r="AE29" s="399">
        <v>27892.700319820804</v>
      </c>
      <c r="AF29" s="399">
        <v>7101.0117127389167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223.50503550189458</v>
      </c>
      <c r="AM29" s="399"/>
      <c r="AN29" s="399">
        <v>14.38105117275736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228.50337644073446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7329.5150891796511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40401.944000000003</v>
      </c>
      <c r="CJ29" s="399">
        <v>-13993.79451</v>
      </c>
      <c r="CK29" s="399"/>
      <c r="CL29" s="399"/>
      <c r="CM29" s="399"/>
      <c r="CN29" s="399"/>
      <c r="CO29" s="399">
        <v>-14298.186849999996</v>
      </c>
      <c r="CP29" s="399">
        <v>304.81577999999934</v>
      </c>
      <c r="CQ29" s="399">
        <v>31</v>
      </c>
      <c r="CR29" s="399">
        <v>422.49997393967715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-136.24768975006373</v>
      </c>
      <c r="DA29" s="399">
        <v>0</v>
      </c>
      <c r="DB29" s="399">
        <v>0</v>
      </c>
      <c r="DC29" s="399">
        <v>304.70713352899293</v>
      </c>
      <c r="DD29" s="399">
        <v>0</v>
      </c>
      <c r="DE29" s="399">
        <v>0</v>
      </c>
      <c r="DF29" s="399">
        <v>0</v>
      </c>
      <c r="DG29" s="399">
        <v>9.8051674400201705</v>
      </c>
      <c r="DH29" s="399">
        <v>0</v>
      </c>
      <c r="DI29" s="399">
        <v>209.97136796607242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32.549734788025233</v>
      </c>
      <c r="DP29" s="399">
        <v>1.7142599666282052</v>
      </c>
      <c r="DQ29" s="399">
        <v>0</v>
      </c>
      <c r="DR29" s="399">
        <v>0</v>
      </c>
      <c r="DS29" s="399"/>
      <c r="DT29" s="399"/>
      <c r="DU29" s="399">
        <v>27892.700319820804</v>
      </c>
      <c r="DV29" s="399">
        <v>0</v>
      </c>
      <c r="DW29" s="399">
        <v>0</v>
      </c>
      <c r="DX29" s="399">
        <v>0</v>
      </c>
      <c r="DY29" s="399">
        <v>-14298.186849999998</v>
      </c>
      <c r="DZ29" s="399">
        <v>304.81577999999899</v>
      </c>
      <c r="EA29" s="399">
        <v>0</v>
      </c>
      <c r="EB29" s="399">
        <v>0</v>
      </c>
      <c r="EC29" s="399">
        <v>-14420.136480815379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232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2343</v>
      </c>
      <c r="D30" s="399" t="s">
        <v>533</v>
      </c>
      <c r="E30" s="399" t="s">
        <v>890</v>
      </c>
      <c r="F30" s="399" t="s">
        <v>1239</v>
      </c>
      <c r="G30" s="399" t="s">
        <v>1239</v>
      </c>
      <c r="H30" s="399" t="s">
        <v>1239</v>
      </c>
      <c r="I30" s="399" t="s">
        <v>2323</v>
      </c>
      <c r="J30" s="399" t="s">
        <v>2326</v>
      </c>
      <c r="K30" s="788">
        <v>44470</v>
      </c>
      <c r="L30" s="399">
        <v>627</v>
      </c>
      <c r="M30" s="399">
        <v>627</v>
      </c>
      <c r="N30" s="399">
        <v>200.47399999999999</v>
      </c>
      <c r="O30" s="399">
        <v>200.47399999999999</v>
      </c>
      <c r="P30" s="399">
        <v>200.47399999999999</v>
      </c>
      <c r="Q30" s="399">
        <v>200.47399999999999</v>
      </c>
      <c r="R30" s="399">
        <v>25.76</v>
      </c>
      <c r="S30" s="399">
        <v>72.290000000000006</v>
      </c>
      <c r="T30" s="399">
        <v>297.72000000000003</v>
      </c>
      <c r="U30" s="399">
        <v>16151.52</v>
      </c>
      <c r="V30" s="399">
        <v>74177.384739999994</v>
      </c>
      <c r="W30" s="399">
        <v>90328.904739999998</v>
      </c>
      <c r="X30" s="399">
        <v>90611.930559999993</v>
      </c>
      <c r="Y30" s="399">
        <v>0</v>
      </c>
      <c r="Z30" s="399">
        <v>10571.416606938006</v>
      </c>
      <c r="AA30" s="399">
        <v>0</v>
      </c>
      <c r="AB30" s="399">
        <v>0</v>
      </c>
      <c r="AC30" s="399">
        <v>0</v>
      </c>
      <c r="AD30" s="399">
        <v>7724.8765805421899</v>
      </c>
      <c r="AE30" s="399">
        <v>8425.7902974802728</v>
      </c>
      <c r="AF30" s="399">
        <v>59685.892503443109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1878.6192816740099</v>
      </c>
      <c r="AM30" s="399"/>
      <c r="AN30" s="399">
        <v>120.87656084891027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1920.6316669565133</v>
      </c>
      <c r="BH30" s="399">
        <v>0</v>
      </c>
      <c r="BI30" s="399">
        <v>0</v>
      </c>
      <c r="BJ30" s="399">
        <v>0</v>
      </c>
      <c r="BK30" s="399">
        <v>0</v>
      </c>
      <c r="BL30" s="399">
        <v>0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61606.524170399622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90610.356799999994</v>
      </c>
      <c r="CJ30" s="399">
        <v>281.42205999999715</v>
      </c>
      <c r="CK30" s="399"/>
      <c r="CL30" s="399"/>
      <c r="CM30" s="399"/>
      <c r="CN30" s="399"/>
      <c r="CO30" s="399">
        <v>-2279.0319000000036</v>
      </c>
      <c r="CP30" s="399">
        <v>2562.0577199999943</v>
      </c>
      <c r="CQ30" s="399">
        <v>31</v>
      </c>
      <c r="CR30" s="399">
        <v>4636.8906166314264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-59.532138411846972</v>
      </c>
      <c r="DA30" s="399">
        <v>0</v>
      </c>
      <c r="DB30" s="399">
        <v>0</v>
      </c>
      <c r="DC30" s="399">
        <v>2561.1445175083354</v>
      </c>
      <c r="DD30" s="399">
        <v>0</v>
      </c>
      <c r="DE30" s="399">
        <v>0</v>
      </c>
      <c r="DF30" s="399">
        <v>0</v>
      </c>
      <c r="DG30" s="399">
        <v>82.415040768546532</v>
      </c>
      <c r="DH30" s="399">
        <v>0</v>
      </c>
      <c r="DI30" s="399">
        <v>1764.8652057201125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273.58917998803327</v>
      </c>
      <c r="DP30" s="399">
        <v>14.408811058229119</v>
      </c>
      <c r="DQ30" s="399">
        <v>0</v>
      </c>
      <c r="DR30" s="399">
        <v>0</v>
      </c>
      <c r="DS30" s="399"/>
      <c r="DT30" s="399"/>
      <c r="DU30" s="399">
        <v>8425.7902974802728</v>
      </c>
      <c r="DV30" s="399">
        <v>0</v>
      </c>
      <c r="DW30" s="399">
        <v>0</v>
      </c>
      <c r="DX30" s="399">
        <v>0</v>
      </c>
      <c r="DY30" s="399">
        <v>-2279.0319000000018</v>
      </c>
      <c r="DZ30" s="399">
        <v>2562.0577199999971</v>
      </c>
      <c r="EA30" s="399">
        <v>0</v>
      </c>
      <c r="EB30" s="399">
        <v>0</v>
      </c>
      <c r="EC30" s="399">
        <v>-4356.0158986132865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232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2343</v>
      </c>
      <c r="D31" s="399" t="s">
        <v>533</v>
      </c>
      <c r="E31" s="399" t="s">
        <v>890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2326</v>
      </c>
      <c r="K31" s="788">
        <v>44470</v>
      </c>
      <c r="L31" s="399">
        <v>0</v>
      </c>
      <c r="M31" s="399">
        <v>0</v>
      </c>
      <c r="N31" s="399">
        <v>0</v>
      </c>
      <c r="O31" s="399">
        <v>0</v>
      </c>
      <c r="P31" s="399">
        <v>0</v>
      </c>
      <c r="Q31" s="399">
        <v>0</v>
      </c>
      <c r="R31" s="399"/>
      <c r="S31" s="399"/>
      <c r="T31" s="399"/>
      <c r="U31" s="399"/>
      <c r="V31" s="399"/>
      <c r="W31" s="399"/>
      <c r="X31" s="399"/>
      <c r="Y31" s="399"/>
      <c r="Z31" s="399"/>
      <c r="AA31" s="399">
        <v>0</v>
      </c>
      <c r="AB31" s="399"/>
      <c r="AC31" s="399"/>
      <c r="AD31" s="399"/>
      <c r="AE31" s="399"/>
      <c r="AF31" s="399"/>
      <c r="AG31" s="399"/>
      <c r="AH31" s="399"/>
      <c r="AI31" s="399"/>
      <c r="AJ31" s="399"/>
      <c r="AK31" s="399"/>
      <c r="AL31" s="399"/>
      <c r="AM31" s="399"/>
      <c r="AN31" s="399"/>
      <c r="AO31" s="399"/>
      <c r="AP31" s="399"/>
      <c r="AQ31" s="399"/>
      <c r="AR31" s="399"/>
      <c r="AS31" s="399"/>
      <c r="AT31" s="399"/>
      <c r="AU31" s="399"/>
      <c r="AV31" s="399"/>
      <c r="AW31" s="399"/>
      <c r="AX31" s="399"/>
      <c r="AY31" s="399"/>
      <c r="AZ31" s="399">
        <v>0</v>
      </c>
      <c r="BA31" s="399"/>
      <c r="BB31" s="399"/>
      <c r="BC31" s="399"/>
      <c r="BD31" s="399"/>
      <c r="BE31" s="399"/>
      <c r="BF31" s="399"/>
      <c r="BG31" s="399"/>
      <c r="BH31" s="399"/>
      <c r="BI31" s="399">
        <v>0</v>
      </c>
      <c r="BJ31" s="399">
        <v>0</v>
      </c>
      <c r="BK31" s="399">
        <v>54289.45</v>
      </c>
      <c r="BL31" s="399">
        <v>1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/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/>
      <c r="CJ31" s="399">
        <v>-0.03</v>
      </c>
      <c r="CK31" s="399"/>
      <c r="CL31" s="399"/>
      <c r="CM31" s="399"/>
      <c r="CN31" s="399"/>
      <c r="CO31" s="399">
        <v>0</v>
      </c>
      <c r="CP31" s="399">
        <v>0</v>
      </c>
      <c r="CQ31" s="399">
        <v>31</v>
      </c>
      <c r="CR31" s="399"/>
      <c r="CS31" s="399"/>
      <c r="CT31" s="399"/>
      <c r="CU31" s="399"/>
      <c r="CV31" s="399"/>
      <c r="CW31" s="399"/>
      <c r="CX31" s="399"/>
      <c r="CY31" s="399"/>
      <c r="CZ31" s="399"/>
      <c r="DA31" s="399"/>
      <c r="DB31" s="399"/>
      <c r="DC31" s="399"/>
      <c r="DD31" s="399"/>
      <c r="DE31" s="399"/>
      <c r="DF31" s="399"/>
      <c r="DG31" s="399"/>
      <c r="DH31" s="399"/>
      <c r="DI31" s="399"/>
      <c r="DJ31" s="399"/>
      <c r="DK31" s="399">
        <v>0</v>
      </c>
      <c r="DL31" s="399"/>
      <c r="DM31" s="399"/>
      <c r="DN31" s="399"/>
      <c r="DO31" s="399"/>
      <c r="DP31" s="399"/>
      <c r="DQ31" s="399"/>
      <c r="DR31" s="399"/>
      <c r="DS31" s="399"/>
      <c r="DT31" s="399"/>
      <c r="DU31" s="399"/>
      <c r="DV31" s="399"/>
      <c r="DW31" s="399"/>
      <c r="DX31" s="399"/>
      <c r="DY31" s="399"/>
      <c r="DZ31" s="399"/>
      <c r="EA31" s="399"/>
      <c r="EB31" s="399"/>
      <c r="EC31" s="399"/>
      <c r="ED31" s="399"/>
      <c r="EE31" s="399"/>
      <c r="EF31" s="399"/>
      <c r="EG31" s="399"/>
      <c r="EH31" s="399"/>
      <c r="EI31" s="399"/>
      <c r="EJ31" s="399"/>
      <c r="EK31" s="399"/>
      <c r="EL31" s="399"/>
      <c r="EM31" s="399"/>
      <c r="EN31" s="399"/>
      <c r="EO31" s="399"/>
      <c r="EP31" s="399"/>
      <c r="EQ31" s="399"/>
      <c r="ER31" s="399"/>
      <c r="ES31" s="399"/>
      <c r="ET31" s="399"/>
      <c r="EU31" s="399"/>
      <c r="EV31" s="399">
        <v>232</v>
      </c>
      <c r="EW31" s="399"/>
      <c r="EX31" s="399"/>
      <c r="EY31" s="399"/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2325</v>
      </c>
      <c r="D32" s="399" t="s">
        <v>533</v>
      </c>
      <c r="E32" s="399" t="s">
        <v>890</v>
      </c>
      <c r="F32" s="399" t="s">
        <v>1239</v>
      </c>
      <c r="G32" s="399" t="s">
        <v>1239</v>
      </c>
      <c r="H32" s="399" t="s">
        <v>1239</v>
      </c>
      <c r="I32" s="399" t="s">
        <v>893</v>
      </c>
      <c r="J32" s="399" t="s">
        <v>2326</v>
      </c>
      <c r="K32" s="788">
        <v>44470</v>
      </c>
      <c r="L32" s="399">
        <v>0</v>
      </c>
      <c r="M32" s="399">
        <v>0</v>
      </c>
      <c r="N32" s="399">
        <v>42.656999999999996</v>
      </c>
      <c r="O32" s="399">
        <v>42.656999999999996</v>
      </c>
      <c r="P32" s="399">
        <v>42.656999999999996</v>
      </c>
      <c r="Q32" s="399">
        <v>42.656999999999996</v>
      </c>
      <c r="R32" s="399"/>
      <c r="S32" s="399">
        <v>1962.25</v>
      </c>
      <c r="T32" s="399">
        <v>297.72000000000003</v>
      </c>
      <c r="U32" s="399"/>
      <c r="V32" s="399">
        <v>96403.54028999999</v>
      </c>
      <c r="W32" s="399">
        <v>96403.54028999999</v>
      </c>
      <c r="X32" s="399">
        <v>71655.655169999984</v>
      </c>
      <c r="Y32" s="399">
        <v>0</v>
      </c>
      <c r="Z32" s="399">
        <v>2249.3935283485862</v>
      </c>
      <c r="AA32" s="399">
        <v>0</v>
      </c>
      <c r="AB32" s="399">
        <v>0</v>
      </c>
      <c r="AC32" s="399">
        <v>0</v>
      </c>
      <c r="AD32" s="399">
        <v>31283.852500676006</v>
      </c>
      <c r="AE32" s="399">
        <v>49336.510465558022</v>
      </c>
      <c r="AF32" s="399">
        <v>12700.006567032995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399.73394404445582</v>
      </c>
      <c r="AM32" s="399"/>
      <c r="AN32" s="399">
        <v>25.720200405698321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408.67336920181162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13108.679936234807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71660.694599999988</v>
      </c>
      <c r="CJ32" s="399">
        <v>-24742.875689999986</v>
      </c>
      <c r="CK32" s="399"/>
      <c r="CL32" s="399"/>
      <c r="CM32" s="399"/>
      <c r="CN32" s="399"/>
      <c r="CO32" s="399">
        <v>-25293.041580000001</v>
      </c>
      <c r="CP32" s="399">
        <v>545.15645999999879</v>
      </c>
      <c r="CQ32" s="399">
        <v>31</v>
      </c>
      <c r="CR32" s="399">
        <v>758.21763072213071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-241.09053623159707</v>
      </c>
      <c r="DA32" s="399">
        <v>0</v>
      </c>
      <c r="DB32" s="399">
        <v>0</v>
      </c>
      <c r="DC32" s="399">
        <v>544.96214812570724</v>
      </c>
      <c r="DD32" s="399">
        <v>0</v>
      </c>
      <c r="DE32" s="399">
        <v>0</v>
      </c>
      <c r="DF32" s="399">
        <v>0</v>
      </c>
      <c r="DG32" s="399">
        <v>17.536330866166622</v>
      </c>
      <c r="DH32" s="399">
        <v>0</v>
      </c>
      <c r="DI32" s="399">
        <v>375.52927102967396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58.21449988901071</v>
      </c>
      <c r="DP32" s="399">
        <v>3.0659170431621057</v>
      </c>
      <c r="DQ32" s="399">
        <v>0</v>
      </c>
      <c r="DR32" s="399">
        <v>0</v>
      </c>
      <c r="DS32" s="399"/>
      <c r="DT32" s="399"/>
      <c r="DU32" s="399"/>
      <c r="DV32" s="399">
        <v>49336.510465558022</v>
      </c>
      <c r="DW32" s="399">
        <v>0</v>
      </c>
      <c r="DX32" s="399">
        <v>0</v>
      </c>
      <c r="DY32" s="399">
        <v>-25293.041579999997</v>
      </c>
      <c r="DZ32" s="399">
        <v>545.15646000000015</v>
      </c>
      <c r="EA32" s="399">
        <v>0</v>
      </c>
      <c r="EB32" s="399">
        <v>0</v>
      </c>
      <c r="EC32" s="399">
        <v>-25506.286814940093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232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2325</v>
      </c>
      <c r="D33" s="399" t="s">
        <v>533</v>
      </c>
      <c r="E33" s="399" t="s">
        <v>890</v>
      </c>
      <c r="F33" s="399" t="s">
        <v>1239</v>
      </c>
      <c r="G33" s="399" t="s">
        <v>1239</v>
      </c>
      <c r="H33" s="399" t="s">
        <v>1239</v>
      </c>
      <c r="I33" s="399" t="s">
        <v>2323</v>
      </c>
      <c r="J33" s="399" t="s">
        <v>2326</v>
      </c>
      <c r="K33" s="788">
        <v>44470</v>
      </c>
      <c r="L33" s="399">
        <v>0</v>
      </c>
      <c r="M33" s="399">
        <v>0</v>
      </c>
      <c r="N33" s="399">
        <v>625.97199999999998</v>
      </c>
      <c r="O33" s="399">
        <v>625.97199999999998</v>
      </c>
      <c r="P33" s="399">
        <v>625.97199999999998</v>
      </c>
      <c r="Q33" s="399">
        <v>625.97199999999998</v>
      </c>
      <c r="R33" s="399"/>
      <c r="S33" s="399">
        <v>72.290000000000006</v>
      </c>
      <c r="T33" s="399">
        <v>297.72000000000003</v>
      </c>
      <c r="U33" s="399"/>
      <c r="V33" s="399">
        <v>231615.89972000002</v>
      </c>
      <c r="W33" s="399">
        <v>231615.89972000002</v>
      </c>
      <c r="X33" s="399">
        <v>246282.42367999998</v>
      </c>
      <c r="Y33" s="399">
        <v>0</v>
      </c>
      <c r="Z33" s="399">
        <v>33008.823070713399</v>
      </c>
      <c r="AA33" s="399">
        <v>0</v>
      </c>
      <c r="AB33" s="399">
        <v>0</v>
      </c>
      <c r="AC33" s="399">
        <v>0</v>
      </c>
      <c r="AD33" s="399">
        <v>0</v>
      </c>
      <c r="AE33" s="399">
        <v>0</v>
      </c>
      <c r="AF33" s="399">
        <v>186366.7981990946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5865.9131308201731</v>
      </c>
      <c r="AM33" s="399"/>
      <c r="AN33" s="399">
        <v>377.43219842829524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5997.095113720994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192363.89331281561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246281.63680000001</v>
      </c>
      <c r="CJ33" s="399">
        <v>14665.707079999964</v>
      </c>
      <c r="CK33" s="399"/>
      <c r="CL33" s="399"/>
      <c r="CM33" s="399"/>
      <c r="CN33" s="399"/>
      <c r="CO33" s="399">
        <v>6666.601799999994</v>
      </c>
      <c r="CP33" s="399">
        <v>7999.9221599999828</v>
      </c>
      <c r="CQ33" s="399">
        <v>31</v>
      </c>
      <c r="CR33" s="399">
        <v>14664.39111715203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0</v>
      </c>
      <c r="DA33" s="399">
        <v>0</v>
      </c>
      <c r="DB33" s="399">
        <v>0</v>
      </c>
      <c r="DC33" s="399">
        <v>7997.0707219575997</v>
      </c>
      <c r="DD33" s="399">
        <v>0</v>
      </c>
      <c r="DE33" s="399">
        <v>0</v>
      </c>
      <c r="DF33" s="399">
        <v>0</v>
      </c>
      <c r="DG33" s="399">
        <v>257.3376492710704</v>
      </c>
      <c r="DH33" s="399">
        <v>0</v>
      </c>
      <c r="DI33" s="399">
        <v>5510.7206049414381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854.27120811411532</v>
      </c>
      <c r="DP33" s="399">
        <v>44.990932867812319</v>
      </c>
      <c r="DQ33" s="399">
        <v>0</v>
      </c>
      <c r="DR33" s="399">
        <v>0</v>
      </c>
      <c r="DS33" s="399"/>
      <c r="DT33" s="399"/>
      <c r="DU33" s="399"/>
      <c r="DV33" s="399">
        <v>0</v>
      </c>
      <c r="DW33" s="399">
        <v>0</v>
      </c>
      <c r="DX33" s="399">
        <v>0</v>
      </c>
      <c r="DY33" s="399">
        <v>6666.6017999999967</v>
      </c>
      <c r="DZ33" s="399">
        <v>7999.9221599999582</v>
      </c>
      <c r="EA33" s="399">
        <v>0</v>
      </c>
      <c r="EB33" s="399">
        <v>0</v>
      </c>
      <c r="EC33" s="399">
        <v>0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232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2325</v>
      </c>
      <c r="D34" s="399" t="s">
        <v>533</v>
      </c>
      <c r="E34" s="399" t="s">
        <v>890</v>
      </c>
      <c r="F34" s="399" t="s">
        <v>1239</v>
      </c>
      <c r="G34" s="399" t="s">
        <v>1239</v>
      </c>
      <c r="H34" s="399" t="s">
        <v>1239</v>
      </c>
      <c r="I34" s="399" t="s">
        <v>1239</v>
      </c>
      <c r="J34" s="399" t="s">
        <v>2326</v>
      </c>
      <c r="K34" s="788">
        <v>44470</v>
      </c>
      <c r="L34" s="399">
        <v>3050</v>
      </c>
      <c r="M34" s="399">
        <v>3050</v>
      </c>
      <c r="N34" s="399">
        <v>0</v>
      </c>
      <c r="O34" s="399">
        <v>0</v>
      </c>
      <c r="P34" s="399">
        <v>0</v>
      </c>
      <c r="Q34" s="399">
        <v>0</v>
      </c>
      <c r="R34" s="399">
        <v>25.76</v>
      </c>
      <c r="S34" s="399"/>
      <c r="T34" s="399"/>
      <c r="U34" s="399">
        <v>78568</v>
      </c>
      <c r="V34" s="399"/>
      <c r="W34" s="399">
        <v>78568</v>
      </c>
      <c r="X34" s="399">
        <v>57096</v>
      </c>
      <c r="Y34" s="399">
        <v>0</v>
      </c>
      <c r="Z34" s="399">
        <v>0</v>
      </c>
      <c r="AA34" s="399">
        <v>0</v>
      </c>
      <c r="AB34" s="399">
        <v>0</v>
      </c>
      <c r="AC34" s="399">
        <v>0</v>
      </c>
      <c r="AD34" s="399">
        <v>37577.150830388644</v>
      </c>
      <c r="AE34" s="399">
        <v>40986.699214218235</v>
      </c>
      <c r="AF34" s="399"/>
      <c r="AG34" s="399"/>
      <c r="AH34" s="399"/>
      <c r="AI34" s="399">
        <v>0</v>
      </c>
      <c r="AJ34" s="399">
        <v>0</v>
      </c>
      <c r="AK34" s="399">
        <v>0</v>
      </c>
      <c r="AL34" s="399">
        <v>0</v>
      </c>
      <c r="AM34" s="399"/>
      <c r="AN34" s="399">
        <v>0</v>
      </c>
      <c r="AO34" s="399">
        <v>0</v>
      </c>
      <c r="AP34" s="399">
        <v>0</v>
      </c>
      <c r="AQ34" s="399">
        <v>0</v>
      </c>
      <c r="AR34" s="399">
        <v>0</v>
      </c>
      <c r="AS34" s="399"/>
      <c r="AT34" s="399"/>
      <c r="AU34" s="399">
        <v>0</v>
      </c>
      <c r="AV34" s="399">
        <v>0</v>
      </c>
      <c r="AW34" s="399">
        <v>0</v>
      </c>
      <c r="AX34" s="399"/>
      <c r="AY34" s="399"/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/>
      <c r="BG34" s="399">
        <v>0</v>
      </c>
      <c r="BH34" s="399">
        <v>0</v>
      </c>
      <c r="BI34" s="399">
        <v>0</v>
      </c>
      <c r="BJ34" s="399">
        <v>0</v>
      </c>
      <c r="BK34" s="399">
        <v>149327.76</v>
      </c>
      <c r="BL34" s="399">
        <v>3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0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57096</v>
      </c>
      <c r="CJ34" s="399">
        <v>-21472.029999999984</v>
      </c>
      <c r="CK34" s="399"/>
      <c r="CL34" s="399"/>
      <c r="CM34" s="399"/>
      <c r="CN34" s="399"/>
      <c r="CO34" s="399">
        <v>-21472.000000000007</v>
      </c>
      <c r="CP34" s="399">
        <v>0</v>
      </c>
      <c r="CQ34" s="399">
        <v>31</v>
      </c>
      <c r="CR34" s="399">
        <v>-289.59014697948442</v>
      </c>
      <c r="CS34" s="399">
        <v>0</v>
      </c>
      <c r="CT34" s="399">
        <v>0</v>
      </c>
      <c r="CU34" s="399">
        <v>0</v>
      </c>
      <c r="CV34" s="399">
        <v>0</v>
      </c>
      <c r="CW34" s="399"/>
      <c r="CX34" s="399"/>
      <c r="CY34" s="399"/>
      <c r="CZ34" s="399">
        <v>-289.59014697948442</v>
      </c>
      <c r="DA34" s="399">
        <v>0</v>
      </c>
      <c r="DB34" s="399">
        <v>0</v>
      </c>
      <c r="DC34" s="399"/>
      <c r="DD34" s="399"/>
      <c r="DE34" s="399">
        <v>0</v>
      </c>
      <c r="DF34" s="399">
        <v>0</v>
      </c>
      <c r="DG34" s="399">
        <v>0</v>
      </c>
      <c r="DH34" s="399">
        <v>0</v>
      </c>
      <c r="DI34" s="399">
        <v>0</v>
      </c>
      <c r="DJ34" s="399"/>
      <c r="DK34" s="399">
        <v>0</v>
      </c>
      <c r="DL34" s="399">
        <v>0</v>
      </c>
      <c r="DM34" s="399"/>
      <c r="DN34" s="399">
        <v>0</v>
      </c>
      <c r="DO34" s="399">
        <v>0</v>
      </c>
      <c r="DP34" s="399">
        <v>0</v>
      </c>
      <c r="DQ34" s="399">
        <v>0</v>
      </c>
      <c r="DR34" s="399">
        <v>0</v>
      </c>
      <c r="DS34" s="399"/>
      <c r="DT34" s="399"/>
      <c r="DU34" s="399">
        <v>40986.699214218235</v>
      </c>
      <c r="DV34" s="399"/>
      <c r="DW34" s="399">
        <v>0</v>
      </c>
      <c r="DX34" s="399">
        <v>0</v>
      </c>
      <c r="DY34" s="399">
        <v>-21472</v>
      </c>
      <c r="DZ34" s="399"/>
      <c r="EA34" s="399">
        <v>0</v>
      </c>
      <c r="EB34" s="399"/>
      <c r="EC34" s="399">
        <v>-21189.551021962558</v>
      </c>
      <c r="ED34" s="399"/>
      <c r="EE34" s="399">
        <v>0</v>
      </c>
      <c r="EF34" s="399">
        <v>0</v>
      </c>
      <c r="EG34" s="399"/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/>
      <c r="EN34" s="399"/>
      <c r="EO34" s="399">
        <v>0</v>
      </c>
      <c r="EP34" s="399">
        <v>0</v>
      </c>
      <c r="EQ34" s="399"/>
      <c r="ER34" s="399">
        <v>0</v>
      </c>
      <c r="ES34" s="399"/>
      <c r="ET34" s="399">
        <v>0</v>
      </c>
      <c r="EU34" s="399"/>
      <c r="EV34" s="399">
        <v>232</v>
      </c>
      <c r="EW34" s="399"/>
      <c r="EX34" s="399"/>
      <c r="EY34" s="399"/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2328</v>
      </c>
      <c r="D35" s="399" t="s">
        <v>1824</v>
      </c>
      <c r="E35" s="399" t="s">
        <v>918</v>
      </c>
      <c r="F35" s="399" t="s">
        <v>1239</v>
      </c>
      <c r="G35" s="399" t="s">
        <v>1239</v>
      </c>
      <c r="H35" s="399" t="s">
        <v>1239</v>
      </c>
      <c r="I35" s="399" t="s">
        <v>1239</v>
      </c>
      <c r="J35" s="399" t="s">
        <v>2326</v>
      </c>
      <c r="K35" s="788">
        <v>44470</v>
      </c>
      <c r="L35" s="399">
        <v>0</v>
      </c>
      <c r="M35" s="399">
        <v>0</v>
      </c>
      <c r="N35" s="399">
        <v>17.728000000000002</v>
      </c>
      <c r="O35" s="399">
        <v>17.728000000000002</v>
      </c>
      <c r="P35" s="399">
        <v>17.728000000000002</v>
      </c>
      <c r="Q35" s="399">
        <v>17.728000000000002</v>
      </c>
      <c r="R35" s="399"/>
      <c r="S35" s="399">
        <v>395.23</v>
      </c>
      <c r="T35" s="399">
        <v>297.72000000000003</v>
      </c>
      <c r="U35" s="399"/>
      <c r="V35" s="399">
        <v>12284.617600000001</v>
      </c>
      <c r="W35" s="399">
        <v>12284.617600000001</v>
      </c>
      <c r="X35" s="399">
        <v>10887.6512</v>
      </c>
      <c r="Y35" s="399">
        <v>0</v>
      </c>
      <c r="Z35" s="399">
        <v>1074.5227695866361</v>
      </c>
      <c r="AA35" s="399">
        <v>0</v>
      </c>
      <c r="AB35" s="399">
        <v>0</v>
      </c>
      <c r="AC35" s="399">
        <v>0</v>
      </c>
      <c r="AD35" s="399">
        <v>1762.1189363127473</v>
      </c>
      <c r="AE35" s="399">
        <v>3548.1671385439904</v>
      </c>
      <c r="AF35" s="399">
        <v>5278.0485364737551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166.12709191973451</v>
      </c>
      <c r="AM35" s="399"/>
      <c r="AN35" s="399">
        <v>15.784779608462859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439.89910916426265</v>
      </c>
      <c r="BH35" s="399">
        <v>0</v>
      </c>
      <c r="BI35" s="399">
        <v>0</v>
      </c>
      <c r="BJ35" s="399">
        <v>0</v>
      </c>
      <c r="BK35" s="399">
        <v>4111.21</v>
      </c>
      <c r="BL35" s="399">
        <v>45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5717.947645638018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10888.879499999999</v>
      </c>
      <c r="CJ35" s="399">
        <v>-1395.768100000003</v>
      </c>
      <c r="CK35" s="399"/>
      <c r="CL35" s="399"/>
      <c r="CM35" s="399"/>
      <c r="CN35" s="399"/>
      <c r="CO35" s="399">
        <v>-1623.530240000001</v>
      </c>
      <c r="CP35" s="399">
        <v>226.56383999999954</v>
      </c>
      <c r="CQ35" s="399">
        <v>31</v>
      </c>
      <c r="CR35" s="399">
        <v>437.2429058796788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-13.579855590048965</v>
      </c>
      <c r="DA35" s="399">
        <v>0</v>
      </c>
      <c r="DB35" s="399">
        <v>0</v>
      </c>
      <c r="DC35" s="399">
        <v>226.48308512020412</v>
      </c>
      <c r="DD35" s="399">
        <v>0</v>
      </c>
      <c r="DE35" s="399">
        <v>0</v>
      </c>
      <c r="DF35" s="399">
        <v>0</v>
      </c>
      <c r="DG35" s="399">
        <v>18.876239332901264</v>
      </c>
      <c r="DH35" s="399">
        <v>0</v>
      </c>
      <c r="DI35" s="399">
        <v>179.38824277844537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24.193606067758651</v>
      </c>
      <c r="DP35" s="399">
        <v>1.8815881704180839</v>
      </c>
      <c r="DQ35" s="399">
        <v>0</v>
      </c>
      <c r="DR35" s="399">
        <v>0</v>
      </c>
      <c r="DS35" s="399"/>
      <c r="DT35" s="399"/>
      <c r="DU35" s="399"/>
      <c r="DV35" s="399">
        <v>3548.1671385439904</v>
      </c>
      <c r="DW35" s="399">
        <v>0</v>
      </c>
      <c r="DX35" s="399">
        <v>0</v>
      </c>
      <c r="DY35" s="399">
        <v>-1623.530240000001</v>
      </c>
      <c r="DZ35" s="399">
        <v>226.5638399999998</v>
      </c>
      <c r="EA35" s="399">
        <v>0</v>
      </c>
      <c r="EB35" s="399">
        <v>0</v>
      </c>
      <c r="EC35" s="399">
        <v>-1834.3528524626286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232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2328</v>
      </c>
      <c r="D36" s="399" t="s">
        <v>2335</v>
      </c>
      <c r="E36" s="399" t="s">
        <v>894</v>
      </c>
      <c r="F36" s="399" t="s">
        <v>1239</v>
      </c>
      <c r="G36" s="399" t="s">
        <v>1239</v>
      </c>
      <c r="H36" s="399" t="s">
        <v>1239</v>
      </c>
      <c r="I36" s="399" t="s">
        <v>1239</v>
      </c>
      <c r="J36" s="399" t="s">
        <v>2326</v>
      </c>
      <c r="K36" s="788">
        <v>44470</v>
      </c>
      <c r="L36" s="399">
        <v>0</v>
      </c>
      <c r="M36" s="399">
        <v>0</v>
      </c>
      <c r="N36" s="399">
        <v>443.80099999999999</v>
      </c>
      <c r="O36" s="399">
        <v>443.80099999999999</v>
      </c>
      <c r="P36" s="399">
        <v>443.80099999999999</v>
      </c>
      <c r="Q36" s="399">
        <v>443.80099999999999</v>
      </c>
      <c r="R36" s="399"/>
      <c r="S36" s="399">
        <v>395.23</v>
      </c>
      <c r="T36" s="399">
        <v>297.72000000000003</v>
      </c>
      <c r="U36" s="399"/>
      <c r="V36" s="399">
        <v>307531.90295000002</v>
      </c>
      <c r="W36" s="399">
        <v>307531.90295000002</v>
      </c>
      <c r="X36" s="399">
        <v>272560.38414999994</v>
      </c>
      <c r="Y36" s="399">
        <v>0</v>
      </c>
      <c r="Z36" s="399">
        <v>26899.496822276546</v>
      </c>
      <c r="AA36" s="399">
        <v>0</v>
      </c>
      <c r="AB36" s="399">
        <v>0</v>
      </c>
      <c r="AC36" s="399">
        <v>0</v>
      </c>
      <c r="AD36" s="399">
        <v>44112.71130722775</v>
      </c>
      <c r="AE36" s="399">
        <v>88824.465492608375</v>
      </c>
      <c r="AF36" s="399">
        <v>132130.14544988654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4158.8092013238993</v>
      </c>
      <c r="AM36" s="399"/>
      <c r="AN36" s="399">
        <v>395.15461276034659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11012.390825034348</v>
      </c>
      <c r="BH36" s="399">
        <v>0</v>
      </c>
      <c r="BI36" s="399">
        <v>0.57999999999999996</v>
      </c>
      <c r="BJ36" s="399">
        <v>2.73</v>
      </c>
      <c r="BK36" s="399">
        <v>78085.53</v>
      </c>
      <c r="BL36" s="399">
        <v>949</v>
      </c>
      <c r="BM36" s="399"/>
      <c r="BN36" s="399"/>
      <c r="BO36" s="399"/>
      <c r="BP36" s="399"/>
      <c r="BQ36" s="399"/>
      <c r="BR36" s="399">
        <v>32708.133699999991</v>
      </c>
      <c r="BS36" s="399"/>
      <c r="BT36" s="399"/>
      <c r="BU36" s="399"/>
      <c r="BV36" s="399">
        <v>143142.53627492089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239851.71000000002</v>
      </c>
      <c r="CJ36" s="399">
        <v>-30778.169799999974</v>
      </c>
      <c r="CK36" s="399"/>
      <c r="CL36" s="399"/>
      <c r="CM36" s="399"/>
      <c r="CN36" s="399"/>
      <c r="CO36" s="399">
        <v>-40643.29558000002</v>
      </c>
      <c r="CP36" s="399">
        <v>5671.7767799999874</v>
      </c>
      <c r="CQ36" s="399">
        <v>31</v>
      </c>
      <c r="CR36" s="399">
        <v>10945.895694511913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-339.95676278877363</v>
      </c>
      <c r="DA36" s="399">
        <v>0</v>
      </c>
      <c r="DB36" s="399">
        <v>0</v>
      </c>
      <c r="DC36" s="399">
        <v>5669.7551703199279</v>
      </c>
      <c r="DD36" s="399">
        <v>0</v>
      </c>
      <c r="DE36" s="399">
        <v>0</v>
      </c>
      <c r="DF36" s="399">
        <v>0</v>
      </c>
      <c r="DG36" s="399">
        <v>472.54590998312779</v>
      </c>
      <c r="DH36" s="399">
        <v>0</v>
      </c>
      <c r="DI36" s="399">
        <v>4490.7875413648981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605.66034332566323</v>
      </c>
      <c r="DP36" s="399">
        <v>47.103492307068791</v>
      </c>
      <c r="DQ36" s="399">
        <v>0</v>
      </c>
      <c r="DR36" s="399">
        <v>0</v>
      </c>
      <c r="DS36" s="399"/>
      <c r="DT36" s="399"/>
      <c r="DU36" s="399"/>
      <c r="DV36" s="399">
        <v>88824.465492608375</v>
      </c>
      <c r="DW36" s="399">
        <v>0</v>
      </c>
      <c r="DX36" s="399">
        <v>0</v>
      </c>
      <c r="DY36" s="399">
        <v>-40643.295580000035</v>
      </c>
      <c r="DZ36" s="399">
        <v>5671.7767799999856</v>
      </c>
      <c r="EA36" s="399">
        <v>0</v>
      </c>
      <c r="EB36" s="399">
        <v>0</v>
      </c>
      <c r="EC36" s="399">
        <v>-45921.008025483243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232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2329</v>
      </c>
      <c r="C37" s="399" t="s">
        <v>2328</v>
      </c>
      <c r="D37" s="399" t="s">
        <v>2335</v>
      </c>
      <c r="E37" s="399" t="s">
        <v>894</v>
      </c>
      <c r="F37" s="399" t="s">
        <v>1239</v>
      </c>
      <c r="G37" s="399" t="s">
        <v>1239</v>
      </c>
      <c r="H37" s="399" t="s">
        <v>1239</v>
      </c>
      <c r="I37" s="399" t="s">
        <v>1239</v>
      </c>
      <c r="J37" s="399" t="s">
        <v>2326</v>
      </c>
      <c r="K37" s="788">
        <v>44470</v>
      </c>
      <c r="L37" s="399">
        <v>0</v>
      </c>
      <c r="M37" s="399">
        <v>0</v>
      </c>
      <c r="N37" s="399">
        <v>-0.745</v>
      </c>
      <c r="O37" s="399">
        <v>-0.745</v>
      </c>
      <c r="P37" s="399">
        <v>-0.745</v>
      </c>
      <c r="Q37" s="399">
        <v>-0.745</v>
      </c>
      <c r="R37" s="399"/>
      <c r="S37" s="399">
        <v>395.23</v>
      </c>
      <c r="T37" s="399">
        <v>297.72000000000003</v>
      </c>
      <c r="U37" s="399"/>
      <c r="V37" s="399">
        <v>-516.24775</v>
      </c>
      <c r="W37" s="399">
        <v>-516.24775</v>
      </c>
      <c r="X37" s="399">
        <v>-457.54174999999998</v>
      </c>
      <c r="Y37" s="399">
        <v>0</v>
      </c>
      <c r="Z37" s="399">
        <v>-45.155655648806622</v>
      </c>
      <c r="AA37" s="399">
        <v>0</v>
      </c>
      <c r="AB37" s="399">
        <v>0</v>
      </c>
      <c r="AC37" s="399">
        <v>0</v>
      </c>
      <c r="AD37" s="399">
        <v>-74.051139866482217</v>
      </c>
      <c r="AE37" s="399">
        <v>-149.10788121701671</v>
      </c>
      <c r="AF37" s="399">
        <v>-221.80427344725558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-6.9813111168886612</v>
      </c>
      <c r="AM37" s="399"/>
      <c r="AN37" s="399">
        <v>-0.66333826761647274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-18.48628363760016</v>
      </c>
      <c r="BH37" s="399">
        <v>0</v>
      </c>
      <c r="BI37" s="399">
        <v>0</v>
      </c>
      <c r="BJ37" s="399">
        <v>0</v>
      </c>
      <c r="BK37" s="399">
        <v>-155.68</v>
      </c>
      <c r="BL37" s="399">
        <v>0</v>
      </c>
      <c r="BM37" s="399"/>
      <c r="BN37" s="399"/>
      <c r="BO37" s="399"/>
      <c r="BP37" s="399"/>
      <c r="BQ37" s="399"/>
      <c r="BR37" s="399">
        <v>-54.906499999999994</v>
      </c>
      <c r="BS37" s="399"/>
      <c r="BT37" s="399"/>
      <c r="BU37" s="399"/>
      <c r="BV37" s="399">
        <v>-240.29055708485575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-405.33749999999998</v>
      </c>
      <c r="CJ37" s="399">
        <v>48.933500000000038</v>
      </c>
      <c r="CK37" s="399"/>
      <c r="CL37" s="399"/>
      <c r="CM37" s="399"/>
      <c r="CN37" s="399"/>
      <c r="CO37" s="399">
        <v>68.227100000000036</v>
      </c>
      <c r="CP37" s="399">
        <v>-9.5210999999999792</v>
      </c>
      <c r="CQ37" s="399">
        <v>31</v>
      </c>
      <c r="CR37" s="399">
        <v>-18.374659571320024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0.5706787237469797</v>
      </c>
      <c r="DA37" s="399">
        <v>0</v>
      </c>
      <c r="DB37" s="399">
        <v>0</v>
      </c>
      <c r="DC37" s="399">
        <v>-9.5177063636367336</v>
      </c>
      <c r="DD37" s="399">
        <v>0</v>
      </c>
      <c r="DE37" s="399">
        <v>0</v>
      </c>
      <c r="DF37" s="399">
        <v>0</v>
      </c>
      <c r="DG37" s="399">
        <v>-0.79325351438466996</v>
      </c>
      <c r="DH37" s="399">
        <v>0</v>
      </c>
      <c r="DI37" s="399">
        <v>-7.5385966194687413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-1.0167100925361128</v>
      </c>
      <c r="DP37" s="399">
        <v>-7.9071705040696827E-2</v>
      </c>
      <c r="DQ37" s="399">
        <v>0</v>
      </c>
      <c r="DR37" s="399">
        <v>0</v>
      </c>
      <c r="DS37" s="399"/>
      <c r="DT37" s="399"/>
      <c r="DU37" s="399"/>
      <c r="DV37" s="399">
        <v>-149.10788121701671</v>
      </c>
      <c r="DW37" s="399">
        <v>0</v>
      </c>
      <c r="DX37" s="399">
        <v>0</v>
      </c>
      <c r="DY37" s="399">
        <v>68.227100000000007</v>
      </c>
      <c r="DZ37" s="399">
        <v>-9.5210999999999615</v>
      </c>
      <c r="EA37" s="399">
        <v>0</v>
      </c>
      <c r="EB37" s="399">
        <v>0</v>
      </c>
      <c r="EC37" s="399">
        <v>77.086691961002813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232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2330</v>
      </c>
      <c r="C38" s="399" t="s">
        <v>2328</v>
      </c>
      <c r="D38" s="399" t="s">
        <v>2335</v>
      </c>
      <c r="E38" s="399" t="s">
        <v>894</v>
      </c>
      <c r="F38" s="399" t="s">
        <v>1239</v>
      </c>
      <c r="G38" s="399" t="s">
        <v>1239</v>
      </c>
      <c r="H38" s="399" t="s">
        <v>1239</v>
      </c>
      <c r="I38" s="399" t="s">
        <v>1239</v>
      </c>
      <c r="J38" s="399" t="s">
        <v>2326</v>
      </c>
      <c r="K38" s="788">
        <v>44470</v>
      </c>
      <c r="L38" s="399">
        <v>0</v>
      </c>
      <c r="M38" s="399">
        <v>0</v>
      </c>
      <c r="N38" s="399">
        <v>18.138999999999999</v>
      </c>
      <c r="O38" s="399">
        <v>18.138999999999999</v>
      </c>
      <c r="P38" s="399">
        <v>18.138999999999999</v>
      </c>
      <c r="Q38" s="399">
        <v>18.138999999999999</v>
      </c>
      <c r="R38" s="399"/>
      <c r="S38" s="399">
        <v>395.23</v>
      </c>
      <c r="T38" s="399">
        <v>297.72000000000003</v>
      </c>
      <c r="U38" s="399"/>
      <c r="V38" s="399">
        <v>12569.420050000001</v>
      </c>
      <c r="W38" s="399">
        <v>12569.420050000001</v>
      </c>
      <c r="X38" s="399">
        <v>11140.066849999999</v>
      </c>
      <c r="Y38" s="399">
        <v>0</v>
      </c>
      <c r="Z38" s="399">
        <v>1099.4341447163802</v>
      </c>
      <c r="AA38" s="399">
        <v>0</v>
      </c>
      <c r="AB38" s="399">
        <v>0</v>
      </c>
      <c r="AC38" s="399">
        <v>0</v>
      </c>
      <c r="AD38" s="399">
        <v>1802.9713101182831</v>
      </c>
      <c r="AE38" s="399">
        <v>3630.4266542221026</v>
      </c>
      <c r="AF38" s="399">
        <v>5400.4130416909647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169.97852664327976</v>
      </c>
      <c r="AM38" s="399"/>
      <c r="AN38" s="399">
        <v>16.150728639322413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450.09758241936822</v>
      </c>
      <c r="BH38" s="399">
        <v>0</v>
      </c>
      <c r="BI38" s="399">
        <v>0</v>
      </c>
      <c r="BJ38" s="399">
        <v>0</v>
      </c>
      <c r="BK38" s="399">
        <v>9198.9500000000007</v>
      </c>
      <c r="BL38" s="399">
        <v>15</v>
      </c>
      <c r="BM38" s="399"/>
      <c r="BN38" s="399"/>
      <c r="BO38" s="399"/>
      <c r="BP38" s="399"/>
      <c r="BQ38" s="399"/>
      <c r="BR38" s="399">
        <v>1336.8442999999997</v>
      </c>
      <c r="BS38" s="399"/>
      <c r="BT38" s="399"/>
      <c r="BU38" s="399"/>
      <c r="BV38" s="399">
        <v>5850.5106241103331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9803.7630000000008</v>
      </c>
      <c r="CJ38" s="399">
        <v>-1257.4291999999987</v>
      </c>
      <c r="CK38" s="399"/>
      <c r="CL38" s="399"/>
      <c r="CM38" s="399"/>
      <c r="CN38" s="399"/>
      <c r="CO38" s="399">
        <v>-1661.1696200000006</v>
      </c>
      <c r="CP38" s="399">
        <v>231.81641999999951</v>
      </c>
      <c r="CQ38" s="399">
        <v>31</v>
      </c>
      <c r="CR38" s="399">
        <v>447.37979860962878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-13.894686402747084</v>
      </c>
      <c r="DA38" s="399">
        <v>0</v>
      </c>
      <c r="DB38" s="399">
        <v>0</v>
      </c>
      <c r="DC38" s="399">
        <v>231.73379292618392</v>
      </c>
      <c r="DD38" s="399">
        <v>0</v>
      </c>
      <c r="DE38" s="399">
        <v>0</v>
      </c>
      <c r="DF38" s="399">
        <v>0</v>
      </c>
      <c r="DG38" s="399">
        <v>19.31385972808522</v>
      </c>
      <c r="DH38" s="399">
        <v>0</v>
      </c>
      <c r="DI38" s="399">
        <v>183.54711957119935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24.754502508070544</v>
      </c>
      <c r="DP38" s="399">
        <v>1.9252102788365093</v>
      </c>
      <c r="DQ38" s="399">
        <v>0</v>
      </c>
      <c r="DR38" s="399">
        <v>0</v>
      </c>
      <c r="DS38" s="399"/>
      <c r="DT38" s="399"/>
      <c r="DU38" s="399"/>
      <c r="DV38" s="399">
        <v>3630.4266542221026</v>
      </c>
      <c r="DW38" s="399">
        <v>0</v>
      </c>
      <c r="DX38" s="399">
        <v>0</v>
      </c>
      <c r="DY38" s="399">
        <v>-1661.1696200000006</v>
      </c>
      <c r="DZ38" s="399">
        <v>231.8164199999992</v>
      </c>
      <c r="EA38" s="399">
        <v>0</v>
      </c>
      <c r="EB38" s="399">
        <v>0</v>
      </c>
      <c r="EC38" s="399">
        <v>-1876.8798731283628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232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2328</v>
      </c>
      <c r="D39" s="399" t="s">
        <v>1824</v>
      </c>
      <c r="E39" s="399" t="s">
        <v>2336</v>
      </c>
      <c r="F39" s="399" t="s">
        <v>1239</v>
      </c>
      <c r="G39" s="399" t="s">
        <v>1239</v>
      </c>
      <c r="H39" s="399" t="s">
        <v>1239</v>
      </c>
      <c r="I39" s="399" t="s">
        <v>1239</v>
      </c>
      <c r="J39" s="399" t="s">
        <v>2326</v>
      </c>
      <c r="K39" s="788">
        <v>44470</v>
      </c>
      <c r="L39" s="399">
        <v>0</v>
      </c>
      <c r="M39" s="399">
        <v>0</v>
      </c>
      <c r="N39" s="399">
        <v>0.81100000000000005</v>
      </c>
      <c r="O39" s="399">
        <v>0.81100000000000005</v>
      </c>
      <c r="P39" s="399">
        <v>0.81100000000000005</v>
      </c>
      <c r="Q39" s="399">
        <v>0.81100000000000005</v>
      </c>
      <c r="R39" s="399"/>
      <c r="S39" s="399">
        <v>395.23</v>
      </c>
      <c r="T39" s="399">
        <v>297.72000000000003</v>
      </c>
      <c r="U39" s="399"/>
      <c r="V39" s="399">
        <v>561.98245000000009</v>
      </c>
      <c r="W39" s="399">
        <v>561.98245000000009</v>
      </c>
      <c r="X39" s="399">
        <v>498.07565</v>
      </c>
      <c r="Y39" s="399">
        <v>0</v>
      </c>
      <c r="Z39" s="399">
        <v>49.156022457962649</v>
      </c>
      <c r="AA39" s="399">
        <v>0</v>
      </c>
      <c r="AB39" s="399">
        <v>0</v>
      </c>
      <c r="AC39" s="399">
        <v>0</v>
      </c>
      <c r="AD39" s="399">
        <v>80.611375076130315</v>
      </c>
      <c r="AE39" s="399">
        <v>162.3174384791954</v>
      </c>
      <c r="AF39" s="399">
        <v>241.45404800768361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7.5997896856331604</v>
      </c>
      <c r="AM39" s="399"/>
      <c r="AN39" s="399">
        <v>0.72210380541873742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20.123994671266754</v>
      </c>
      <c r="BH39" s="399">
        <v>0</v>
      </c>
      <c r="BI39" s="399">
        <v>0</v>
      </c>
      <c r="BJ39" s="399">
        <v>0</v>
      </c>
      <c r="BK39" s="399">
        <v>199.22</v>
      </c>
      <c r="BL39" s="399">
        <v>17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261.57804267895034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497.4615</v>
      </c>
      <c r="CJ39" s="399">
        <v>-64.550950000000057</v>
      </c>
      <c r="CK39" s="399"/>
      <c r="CL39" s="399"/>
      <c r="CM39" s="399"/>
      <c r="CN39" s="399"/>
      <c r="CO39" s="399">
        <v>-74.271380000000036</v>
      </c>
      <c r="CP39" s="399">
        <v>10.364579999999979</v>
      </c>
      <c r="CQ39" s="399">
        <v>31</v>
      </c>
      <c r="CR39" s="399">
        <v>20.00248176153093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-0.62123549658900856</v>
      </c>
      <c r="DA39" s="399">
        <v>0</v>
      </c>
      <c r="DB39" s="399">
        <v>0</v>
      </c>
      <c r="DC39" s="399">
        <v>10.360885719341468</v>
      </c>
      <c r="DD39" s="399">
        <v>0</v>
      </c>
      <c r="DE39" s="399">
        <v>0</v>
      </c>
      <c r="DF39" s="399">
        <v>0</v>
      </c>
      <c r="DG39" s="399">
        <v>0.86352832237042421</v>
      </c>
      <c r="DH39" s="399">
        <v>0</v>
      </c>
      <c r="DI39" s="399">
        <v>8.2064454475022117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1.1067810537540783</v>
      </c>
      <c r="DP39" s="399">
        <v>8.6076715151684802E-2</v>
      </c>
      <c r="DQ39" s="399">
        <v>0</v>
      </c>
      <c r="DR39" s="399">
        <v>0</v>
      </c>
      <c r="DS39" s="399"/>
      <c r="DT39" s="399"/>
      <c r="DU39" s="399"/>
      <c r="DV39" s="399">
        <v>162.3174384791954</v>
      </c>
      <c r="DW39" s="399">
        <v>0</v>
      </c>
      <c r="DX39" s="399">
        <v>0</v>
      </c>
      <c r="DY39" s="399">
        <v>-74.271380000000022</v>
      </c>
      <c r="DZ39" s="399">
        <v>10.364579999999989</v>
      </c>
      <c r="EA39" s="399">
        <v>0</v>
      </c>
      <c r="EB39" s="399">
        <v>0</v>
      </c>
      <c r="EC39" s="399">
        <v>-83.915848564259463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232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2328</v>
      </c>
      <c r="D40" s="399" t="s">
        <v>2337</v>
      </c>
      <c r="E40" s="399" t="s">
        <v>2338</v>
      </c>
      <c r="F40" s="399" t="s">
        <v>2339</v>
      </c>
      <c r="G40" s="399" t="s">
        <v>1239</v>
      </c>
      <c r="H40" s="399" t="s">
        <v>1239</v>
      </c>
      <c r="I40" s="399" t="s">
        <v>1239</v>
      </c>
      <c r="J40" s="399" t="s">
        <v>2326</v>
      </c>
      <c r="K40" s="788">
        <v>44470</v>
      </c>
      <c r="L40" s="399">
        <v>0</v>
      </c>
      <c r="M40" s="399">
        <v>0</v>
      </c>
      <c r="N40" s="399">
        <v>21.094000000000001</v>
      </c>
      <c r="O40" s="399">
        <v>21.094000000000001</v>
      </c>
      <c r="P40" s="399">
        <v>21.094000000000001</v>
      </c>
      <c r="Q40" s="399">
        <v>21.094000000000001</v>
      </c>
      <c r="R40" s="399"/>
      <c r="S40" s="399">
        <v>217.38</v>
      </c>
      <c r="T40" s="399">
        <v>163.75</v>
      </c>
      <c r="U40" s="399"/>
      <c r="V40" s="399">
        <v>8039.5562200000004</v>
      </c>
      <c r="W40" s="399">
        <v>8039.5562200000004</v>
      </c>
      <c r="X40" s="399">
        <v>7125.1313200000004</v>
      </c>
      <c r="Y40" s="399">
        <v>0</v>
      </c>
      <c r="Z40" s="399">
        <v>703.19781226947646</v>
      </c>
      <c r="AA40" s="399">
        <v>0</v>
      </c>
      <c r="AB40" s="399">
        <v>0</v>
      </c>
      <c r="AC40" s="399">
        <v>0</v>
      </c>
      <c r="AD40" s="399">
        <v>1153.1800126026399</v>
      </c>
      <c r="AE40" s="399">
        <v>2322.0200074033091</v>
      </c>
      <c r="AF40" s="399">
        <v>3454.1028714805689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108.71822440913708</v>
      </c>
      <c r="AM40" s="399"/>
      <c r="AN40" s="399">
        <v>10.330002120008086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287.88230453469242</v>
      </c>
      <c r="BH40" s="399">
        <v>0</v>
      </c>
      <c r="BI40" s="399">
        <v>0</v>
      </c>
      <c r="BJ40" s="399">
        <v>0</v>
      </c>
      <c r="BK40" s="399">
        <v>3373.48</v>
      </c>
      <c r="BL40" s="399">
        <v>1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3741.9851760152615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7123.7802000000001</v>
      </c>
      <c r="CJ40" s="399">
        <v>-915.8060200000009</v>
      </c>
      <c r="CK40" s="399"/>
      <c r="CL40" s="399"/>
      <c r="CM40" s="399"/>
      <c r="CN40" s="399"/>
      <c r="CO40" s="399">
        <v>-1062.5047800000002</v>
      </c>
      <c r="CP40" s="399">
        <v>148.07988000000023</v>
      </c>
      <c r="CQ40" s="399">
        <v>31</v>
      </c>
      <c r="CR40" s="399">
        <v>286.14401066924438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-8.8870380527450834</v>
      </c>
      <c r="DA40" s="399">
        <v>0</v>
      </c>
      <c r="DB40" s="399">
        <v>0</v>
      </c>
      <c r="DC40" s="399">
        <v>148.216877743635</v>
      </c>
      <c r="DD40" s="399">
        <v>0</v>
      </c>
      <c r="DE40" s="399">
        <v>0</v>
      </c>
      <c r="DF40" s="399">
        <v>0</v>
      </c>
      <c r="DG40" s="399">
        <v>12.353139997096207</v>
      </c>
      <c r="DH40" s="399">
        <v>0</v>
      </c>
      <c r="DI40" s="399">
        <v>117.39669315448316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15.832973799431684</v>
      </c>
      <c r="DP40" s="399">
        <v>1.231364027343167</v>
      </c>
      <c r="DQ40" s="399">
        <v>0</v>
      </c>
      <c r="DR40" s="399">
        <v>0</v>
      </c>
      <c r="DS40" s="399"/>
      <c r="DT40" s="399"/>
      <c r="DU40" s="399"/>
      <c r="DV40" s="399">
        <v>2322.0200074033091</v>
      </c>
      <c r="DW40" s="399">
        <v>0</v>
      </c>
      <c r="DX40" s="399">
        <v>0</v>
      </c>
      <c r="DY40" s="399">
        <v>-1062.5047800000007</v>
      </c>
      <c r="DZ40" s="399">
        <v>148.07988000000023</v>
      </c>
      <c r="EA40" s="399">
        <v>0</v>
      </c>
      <c r="EB40" s="399">
        <v>0</v>
      </c>
      <c r="EC40" s="399">
        <v>-1200.4519115757964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232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2328</v>
      </c>
      <c r="D41" s="399" t="s">
        <v>1824</v>
      </c>
      <c r="E41" s="399" t="s">
        <v>921</v>
      </c>
      <c r="F41" s="399" t="s">
        <v>2327</v>
      </c>
      <c r="G41" s="399" t="s">
        <v>1239</v>
      </c>
      <c r="H41" s="399" t="s">
        <v>1239</v>
      </c>
      <c r="I41" s="399" t="s">
        <v>1239</v>
      </c>
      <c r="J41" s="399" t="s">
        <v>2326</v>
      </c>
      <c r="K41" s="788">
        <v>44470</v>
      </c>
      <c r="L41" s="399">
        <v>0</v>
      </c>
      <c r="M41" s="399">
        <v>0</v>
      </c>
      <c r="N41" s="399">
        <v>0.68899999999999995</v>
      </c>
      <c r="O41" s="399">
        <v>0.6476599999999999</v>
      </c>
      <c r="P41" s="399">
        <v>0.68899999999999995</v>
      </c>
      <c r="Q41" s="399">
        <v>0.6476599999999999</v>
      </c>
      <c r="R41" s="399"/>
      <c r="S41" s="399">
        <v>395.23</v>
      </c>
      <c r="T41" s="399">
        <v>297.72000000000003</v>
      </c>
      <c r="U41" s="399"/>
      <c r="V41" s="399">
        <v>477.44254999999998</v>
      </c>
      <c r="W41" s="399">
        <v>477.44254999999998</v>
      </c>
      <c r="X41" s="399">
        <v>423.14934999999991</v>
      </c>
      <c r="Y41" s="399">
        <v>0</v>
      </c>
      <c r="Z41" s="399">
        <v>41.761405022856053</v>
      </c>
      <c r="AA41" s="399">
        <v>0</v>
      </c>
      <c r="AB41" s="399">
        <v>0</v>
      </c>
      <c r="AC41" s="399">
        <v>0</v>
      </c>
      <c r="AD41" s="399">
        <v>68.48487968859898</v>
      </c>
      <c r="AE41" s="399">
        <v>137.89977202486511</v>
      </c>
      <c r="AF41" s="399">
        <v>205.13173745658938</v>
      </c>
      <c r="AG41" s="399">
        <v>0</v>
      </c>
      <c r="AH41" s="399">
        <v>0</v>
      </c>
      <c r="AI41" s="399">
        <v>0</v>
      </c>
      <c r="AJ41" s="399">
        <v>0</v>
      </c>
      <c r="AK41" s="399">
        <v>0</v>
      </c>
      <c r="AL41" s="399">
        <v>6.4565414221963593</v>
      </c>
      <c r="AM41" s="399"/>
      <c r="AN41" s="399">
        <v>0.61347659917818753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17.096710639337598</v>
      </c>
      <c r="BH41" s="399">
        <v>0</v>
      </c>
      <c r="BI41" s="399">
        <v>0</v>
      </c>
      <c r="BJ41" s="399">
        <v>0</v>
      </c>
      <c r="BK41" s="399">
        <v>169.28</v>
      </c>
      <c r="BL41" s="399">
        <v>2</v>
      </c>
      <c r="BM41" s="399"/>
      <c r="BN41" s="399"/>
      <c r="BO41" s="399"/>
      <c r="BP41" s="399"/>
      <c r="BQ41" s="399">
        <v>25.388961000000023</v>
      </c>
      <c r="BR41" s="399"/>
      <c r="BS41" s="399"/>
      <c r="BT41" s="399"/>
      <c r="BU41" s="399"/>
      <c r="BV41" s="399">
        <v>222.22844809592698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399.19749999999999</v>
      </c>
      <c r="CJ41" s="399">
        <v>-49.628496999999925</v>
      </c>
      <c r="CK41" s="399"/>
      <c r="CL41" s="399"/>
      <c r="CM41" s="399"/>
      <c r="CN41" s="399"/>
      <c r="CO41" s="399">
        <v>-63.098620000000025</v>
      </c>
      <c r="CP41" s="399">
        <v>8.8054199999999803</v>
      </c>
      <c r="CQ41" s="399">
        <v>31</v>
      </c>
      <c r="CR41" s="399">
        <v>16.993477106898638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-0.5277820680022387</v>
      </c>
      <c r="DA41" s="399">
        <v>0</v>
      </c>
      <c r="DB41" s="399">
        <v>0</v>
      </c>
      <c r="DC41" s="399">
        <v>8.8022814557660638</v>
      </c>
      <c r="DD41" s="399">
        <v>0</v>
      </c>
      <c r="DE41" s="399">
        <v>0</v>
      </c>
      <c r="DF41" s="399">
        <v>0</v>
      </c>
      <c r="DG41" s="399">
        <v>0.73362640457857253</v>
      </c>
      <c r="DH41" s="399">
        <v>0</v>
      </c>
      <c r="DI41" s="399">
        <v>6.9719370078039802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0.94028624665420324</v>
      </c>
      <c r="DP41" s="399">
        <v>7.3128060098040293E-2</v>
      </c>
      <c r="DQ41" s="399">
        <v>0</v>
      </c>
      <c r="DR41" s="399">
        <v>0</v>
      </c>
      <c r="DS41" s="399"/>
      <c r="DT41" s="399"/>
      <c r="DU41" s="399"/>
      <c r="DV41" s="399">
        <v>137.89977202486511</v>
      </c>
      <c r="DW41" s="399">
        <v>0</v>
      </c>
      <c r="DX41" s="399">
        <v>0</v>
      </c>
      <c r="DY41" s="399">
        <v>-63.098620000000039</v>
      </c>
      <c r="DZ41" s="399">
        <v>8.8054199999999696</v>
      </c>
      <c r="EA41" s="399">
        <v>0</v>
      </c>
      <c r="EB41" s="399">
        <v>0</v>
      </c>
      <c r="EC41" s="399">
        <v>-71.292256055209307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232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2328</v>
      </c>
      <c r="D42" s="399" t="s">
        <v>2335</v>
      </c>
      <c r="E42" s="399" t="s">
        <v>894</v>
      </c>
      <c r="F42" s="399" t="s">
        <v>2367</v>
      </c>
      <c r="G42" s="399" t="s">
        <v>2368</v>
      </c>
      <c r="H42" s="399" t="s">
        <v>1239</v>
      </c>
      <c r="I42" s="399" t="s">
        <v>1239</v>
      </c>
      <c r="J42" s="399" t="s">
        <v>2326</v>
      </c>
      <c r="K42" s="788">
        <v>44470</v>
      </c>
      <c r="L42" s="399">
        <v>0</v>
      </c>
      <c r="M42" s="399">
        <v>0</v>
      </c>
      <c r="N42" s="399">
        <v>0</v>
      </c>
      <c r="O42" s="399">
        <v>0</v>
      </c>
      <c r="P42" s="399">
        <v>0</v>
      </c>
      <c r="Q42" s="399">
        <v>0</v>
      </c>
      <c r="R42" s="399"/>
      <c r="S42" s="399"/>
      <c r="T42" s="399"/>
      <c r="U42" s="399"/>
      <c r="V42" s="399"/>
      <c r="W42" s="399"/>
      <c r="X42" s="399"/>
      <c r="Y42" s="399"/>
      <c r="Z42" s="399"/>
      <c r="AA42" s="399">
        <v>0</v>
      </c>
      <c r="AB42" s="399"/>
      <c r="AC42" s="399"/>
      <c r="AD42" s="399"/>
      <c r="AE42" s="399"/>
      <c r="AF42" s="399"/>
      <c r="AG42" s="399"/>
      <c r="AH42" s="399"/>
      <c r="AI42" s="399"/>
      <c r="AJ42" s="399"/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>
        <v>0</v>
      </c>
      <c r="BA42" s="399"/>
      <c r="BB42" s="399"/>
      <c r="BC42" s="399"/>
      <c r="BD42" s="399"/>
      <c r="BE42" s="399"/>
      <c r="BF42" s="399"/>
      <c r="BG42" s="399"/>
      <c r="BH42" s="399"/>
      <c r="BI42" s="399">
        <v>0</v>
      </c>
      <c r="BJ42" s="399">
        <v>0</v>
      </c>
      <c r="BK42" s="399">
        <v>11.95</v>
      </c>
      <c r="BL42" s="399">
        <v>1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/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>
        <v>-0.03</v>
      </c>
      <c r="CK42" s="399"/>
      <c r="CL42" s="399"/>
      <c r="CM42" s="399"/>
      <c r="CN42" s="399"/>
      <c r="CO42" s="399">
        <v>0</v>
      </c>
      <c r="CP42" s="399">
        <v>0</v>
      </c>
      <c r="CQ42" s="399">
        <v>31</v>
      </c>
      <c r="CR42" s="399"/>
      <c r="CS42" s="399"/>
      <c r="CT42" s="399"/>
      <c r="CU42" s="399"/>
      <c r="CV42" s="399"/>
      <c r="CW42" s="399"/>
      <c r="CX42" s="399"/>
      <c r="CY42" s="399"/>
      <c r="CZ42" s="399"/>
      <c r="DA42" s="399"/>
      <c r="DB42" s="399"/>
      <c r="DC42" s="399"/>
      <c r="DD42" s="399"/>
      <c r="DE42" s="399"/>
      <c r="DF42" s="399"/>
      <c r="DG42" s="399"/>
      <c r="DH42" s="399"/>
      <c r="DI42" s="399"/>
      <c r="DJ42" s="399"/>
      <c r="DK42" s="399">
        <v>0</v>
      </c>
      <c r="DL42" s="399"/>
      <c r="DM42" s="399"/>
      <c r="DN42" s="399"/>
      <c r="DO42" s="399"/>
      <c r="DP42" s="399"/>
      <c r="DQ42" s="399"/>
      <c r="DR42" s="399"/>
      <c r="DS42" s="399"/>
      <c r="DT42" s="399"/>
      <c r="DU42" s="399"/>
      <c r="DV42" s="399"/>
      <c r="DW42" s="399"/>
      <c r="DX42" s="399"/>
      <c r="DY42" s="399"/>
      <c r="DZ42" s="399"/>
      <c r="EA42" s="399"/>
      <c r="EB42" s="399"/>
      <c r="EC42" s="399"/>
      <c r="ED42" s="399"/>
      <c r="EE42" s="399"/>
      <c r="EF42" s="399"/>
      <c r="EG42" s="399"/>
      <c r="EH42" s="399"/>
      <c r="EI42" s="399"/>
      <c r="EJ42" s="399"/>
      <c r="EK42" s="399"/>
      <c r="EL42" s="399"/>
      <c r="EM42" s="399"/>
      <c r="EN42" s="399"/>
      <c r="EO42" s="399"/>
      <c r="EP42" s="399"/>
      <c r="EQ42" s="399"/>
      <c r="ER42" s="399"/>
      <c r="ES42" s="399"/>
      <c r="ET42" s="399"/>
      <c r="EU42" s="399"/>
      <c r="EV42" s="399">
        <v>232</v>
      </c>
      <c r="EW42" s="399"/>
      <c r="EX42" s="399"/>
      <c r="EY42" s="399"/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2328</v>
      </c>
      <c r="D43" s="399" t="s">
        <v>2335</v>
      </c>
      <c r="E43" s="399" t="s">
        <v>894</v>
      </c>
      <c r="F43" s="399" t="s">
        <v>2367</v>
      </c>
      <c r="G43" s="399" t="s">
        <v>2368</v>
      </c>
      <c r="H43" s="399" t="s">
        <v>1239</v>
      </c>
      <c r="I43" s="399" t="s">
        <v>1239</v>
      </c>
      <c r="J43" s="399" t="s">
        <v>2326</v>
      </c>
      <c r="K43" s="788">
        <v>44470</v>
      </c>
      <c r="L43" s="399">
        <v>0</v>
      </c>
      <c r="M43" s="399">
        <v>0</v>
      </c>
      <c r="N43" s="399">
        <v>0.104</v>
      </c>
      <c r="O43" s="399">
        <v>0.104</v>
      </c>
      <c r="P43" s="399">
        <v>0.104</v>
      </c>
      <c r="Q43" s="399">
        <v>0.104</v>
      </c>
      <c r="R43" s="399"/>
      <c r="S43" s="399">
        <v>395.23</v>
      </c>
      <c r="T43" s="399">
        <v>297.72000000000003</v>
      </c>
      <c r="U43" s="399"/>
      <c r="V43" s="399">
        <v>72.066800000000001</v>
      </c>
      <c r="W43" s="399">
        <v>72.066800000000001</v>
      </c>
      <c r="X43" s="399">
        <v>63.871600000000001</v>
      </c>
      <c r="Y43" s="399">
        <v>0</v>
      </c>
      <c r="Z43" s="399">
        <v>6.3036083053367626</v>
      </c>
      <c r="AA43" s="399">
        <v>0</v>
      </c>
      <c r="AB43" s="399">
        <v>0</v>
      </c>
      <c r="AC43" s="399">
        <v>0</v>
      </c>
      <c r="AD43" s="399">
        <v>10.337340330354564</v>
      </c>
      <c r="AE43" s="399">
        <v>20.815059928281528</v>
      </c>
      <c r="AF43" s="399">
        <v>30.963281125522926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0.97457229014284663</v>
      </c>
      <c r="AM43" s="399"/>
      <c r="AN43" s="399">
        <v>9.2600241385386792E-2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2.5806355682019015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>
        <v>8.9283999999999963</v>
      </c>
      <c r="BS43" s="399"/>
      <c r="BT43" s="399"/>
      <c r="BU43" s="399"/>
      <c r="BV43" s="399">
        <v>33.543916693724825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52.83</v>
      </c>
      <c r="CJ43" s="399">
        <v>-8.9749599999999958</v>
      </c>
      <c r="CK43" s="399"/>
      <c r="CL43" s="399"/>
      <c r="CM43" s="399"/>
      <c r="CN43" s="399"/>
      <c r="CO43" s="399">
        <v>-9.524320000000003</v>
      </c>
      <c r="CP43" s="399">
        <v>1.3291199999999972</v>
      </c>
      <c r="CQ43" s="399">
        <v>31</v>
      </c>
      <c r="CR43" s="399">
        <v>2.5650531482111134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-7.9665217811658806E-2</v>
      </c>
      <c r="DA43" s="399">
        <v>0</v>
      </c>
      <c r="DB43" s="399">
        <v>0</v>
      </c>
      <c r="DC43" s="399">
        <v>1.3286462574741194</v>
      </c>
      <c r="DD43" s="399">
        <v>0</v>
      </c>
      <c r="DE43" s="399">
        <v>0</v>
      </c>
      <c r="DF43" s="399">
        <v>0</v>
      </c>
      <c r="DG43" s="399">
        <v>0.11073606106846379</v>
      </c>
      <c r="DH43" s="399">
        <v>0</v>
      </c>
      <c r="DI43" s="399">
        <v>1.052367850234563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0.14192999949497409</v>
      </c>
      <c r="DP43" s="399">
        <v>1.1038197750647613E-2</v>
      </c>
      <c r="DQ43" s="399">
        <v>0</v>
      </c>
      <c r="DR43" s="399">
        <v>0</v>
      </c>
      <c r="DS43" s="399"/>
      <c r="DT43" s="399"/>
      <c r="DU43" s="399"/>
      <c r="DV43" s="399">
        <v>20.815059928281528</v>
      </c>
      <c r="DW43" s="399">
        <v>0</v>
      </c>
      <c r="DX43" s="399">
        <v>0</v>
      </c>
      <c r="DY43" s="399">
        <v>-9.5243200000000066</v>
      </c>
      <c r="DZ43" s="399">
        <v>1.3291199999999996</v>
      </c>
      <c r="EA43" s="399">
        <v>0</v>
      </c>
      <c r="EB43" s="399">
        <v>0</v>
      </c>
      <c r="EC43" s="399">
        <v>-10.761095253616501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232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2328</v>
      </c>
      <c r="D44" s="399" t="s">
        <v>2335</v>
      </c>
      <c r="E44" s="399" t="s">
        <v>894</v>
      </c>
      <c r="F44" s="399" t="s">
        <v>2367</v>
      </c>
      <c r="G44" s="399" t="s">
        <v>2369</v>
      </c>
      <c r="H44" s="399" t="s">
        <v>1239</v>
      </c>
      <c r="I44" s="399" t="s">
        <v>1239</v>
      </c>
      <c r="J44" s="399" t="s">
        <v>2326</v>
      </c>
      <c r="K44" s="788">
        <v>44470</v>
      </c>
      <c r="L44" s="399">
        <v>0</v>
      </c>
      <c r="M44" s="399">
        <v>0</v>
      </c>
      <c r="N44" s="399">
        <v>1.4999999999999999E-2</v>
      </c>
      <c r="O44" s="399">
        <v>6.0000000000000001E-3</v>
      </c>
      <c r="P44" s="399">
        <v>1.4999999999999999E-2</v>
      </c>
      <c r="Q44" s="399">
        <v>6.0000000000000001E-3</v>
      </c>
      <c r="R44" s="399"/>
      <c r="S44" s="399">
        <v>395.23</v>
      </c>
      <c r="T44" s="399">
        <v>297.72000000000003</v>
      </c>
      <c r="U44" s="399"/>
      <c r="V44" s="399">
        <v>10.39425</v>
      </c>
      <c r="W44" s="399">
        <v>10.39425</v>
      </c>
      <c r="X44" s="399">
        <v>9.2122499999999992</v>
      </c>
      <c r="Y44" s="399">
        <v>0</v>
      </c>
      <c r="Z44" s="399">
        <v>0.90917427480818702</v>
      </c>
      <c r="AA44" s="399">
        <v>0</v>
      </c>
      <c r="AB44" s="399">
        <v>0</v>
      </c>
      <c r="AC44" s="399">
        <v>0</v>
      </c>
      <c r="AD44" s="399">
        <v>1.490962547647293</v>
      </c>
      <c r="AE44" s="399">
        <v>3.0021721050406049</v>
      </c>
      <c r="AF44" s="399">
        <v>4.4658578546427297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0.1405633110782952</v>
      </c>
      <c r="AM44" s="399"/>
      <c r="AN44" s="399">
        <v>1.335580404596925E-2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0.37220705310604352</v>
      </c>
      <c r="BH44" s="399">
        <v>0</v>
      </c>
      <c r="BI44" s="399">
        <v>0</v>
      </c>
      <c r="BJ44" s="399">
        <v>0</v>
      </c>
      <c r="BK44" s="399">
        <v>0</v>
      </c>
      <c r="BL44" s="399">
        <v>0</v>
      </c>
      <c r="BM44" s="399"/>
      <c r="BN44" s="399"/>
      <c r="BO44" s="399"/>
      <c r="BP44" s="399"/>
      <c r="BQ44" s="399"/>
      <c r="BR44" s="399"/>
      <c r="BS44" s="399">
        <v>6.0424499999999988</v>
      </c>
      <c r="BT44" s="399"/>
      <c r="BU44" s="399"/>
      <c r="BV44" s="399">
        <v>4.8380649077487732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5.2830000000000004</v>
      </c>
      <c r="CJ44" s="399">
        <v>1.6890600000000009</v>
      </c>
      <c r="CK44" s="399"/>
      <c r="CL44" s="399"/>
      <c r="CM44" s="399"/>
      <c r="CN44" s="399"/>
      <c r="CO44" s="399">
        <v>-1.3737000000000006</v>
      </c>
      <c r="CP44" s="399">
        <v>0.19169999999999959</v>
      </c>
      <c r="CQ44" s="399">
        <v>31</v>
      </c>
      <c r="CR44" s="399">
        <v>0.36995958868429568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-1.1490175645912482E-2</v>
      </c>
      <c r="DA44" s="399">
        <v>0</v>
      </c>
      <c r="DB44" s="399">
        <v>0</v>
      </c>
      <c r="DC44" s="399">
        <v>0.19163167175107532</v>
      </c>
      <c r="DD44" s="399">
        <v>0</v>
      </c>
      <c r="DE44" s="399">
        <v>0</v>
      </c>
      <c r="DF44" s="399">
        <v>0</v>
      </c>
      <c r="DG44" s="399">
        <v>1.5971547269489961E-2</v>
      </c>
      <c r="DH44" s="399">
        <v>0</v>
      </c>
      <c r="DI44" s="399">
        <v>0.15178382455306183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2.0470673004082784E-2</v>
      </c>
      <c r="DP44" s="399">
        <v>1.5920477524972495E-3</v>
      </c>
      <c r="DQ44" s="399">
        <v>0</v>
      </c>
      <c r="DR44" s="399">
        <v>0</v>
      </c>
      <c r="DS44" s="399"/>
      <c r="DT44" s="399"/>
      <c r="DU44" s="399"/>
      <c r="DV44" s="399">
        <v>3.0021721050406049</v>
      </c>
      <c r="DW44" s="399">
        <v>0</v>
      </c>
      <c r="DX44" s="399">
        <v>0</v>
      </c>
      <c r="DY44" s="399">
        <v>-1.3737000000000004</v>
      </c>
      <c r="DZ44" s="399">
        <v>0.19169999999999909</v>
      </c>
      <c r="EA44" s="399">
        <v>0</v>
      </c>
      <c r="EB44" s="399">
        <v>0</v>
      </c>
      <c r="EC44" s="399">
        <v>-1.5520810461946875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232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2328</v>
      </c>
      <c r="D45" s="399" t="s">
        <v>1821</v>
      </c>
      <c r="E45" s="399" t="s">
        <v>889</v>
      </c>
      <c r="F45" s="399" t="s">
        <v>889</v>
      </c>
      <c r="G45" s="399" t="s">
        <v>1239</v>
      </c>
      <c r="H45" s="399" t="s">
        <v>1239</v>
      </c>
      <c r="I45" s="399" t="s">
        <v>1239</v>
      </c>
      <c r="J45" s="399" t="s">
        <v>2326</v>
      </c>
      <c r="K45" s="788">
        <v>44501</v>
      </c>
      <c r="L45" s="399">
        <v>0</v>
      </c>
      <c r="M45" s="399">
        <v>0</v>
      </c>
      <c r="N45" s="399">
        <v>35.085000000000001</v>
      </c>
      <c r="O45" s="399">
        <v>35.085000000000001</v>
      </c>
      <c r="P45" s="399">
        <v>35.085000000000001</v>
      </c>
      <c r="Q45" s="399">
        <v>35.085000000000001</v>
      </c>
      <c r="R45" s="399"/>
      <c r="S45" s="399">
        <v>395.23</v>
      </c>
      <c r="T45" s="399">
        <v>297.72000000000003</v>
      </c>
      <c r="U45" s="399"/>
      <c r="V45" s="399">
        <v>24312.150750000001</v>
      </c>
      <c r="W45" s="399">
        <v>24312.150750000001</v>
      </c>
      <c r="X45" s="399">
        <v>21547.452749999997</v>
      </c>
      <c r="Y45" s="399">
        <v>0</v>
      </c>
      <c r="Z45" s="399">
        <v>2126.5586287763495</v>
      </c>
      <c r="AA45" s="399">
        <v>0</v>
      </c>
      <c r="AB45" s="399">
        <v>0</v>
      </c>
      <c r="AC45" s="399">
        <v>0</v>
      </c>
      <c r="AD45" s="399">
        <v>3487.3613989470182</v>
      </c>
      <c r="AE45" s="399">
        <v>7022.0805536899761</v>
      </c>
      <c r="AF45" s="399">
        <v>10445.641522009346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328.7775846121325</v>
      </c>
      <c r="AM45" s="399"/>
      <c r="AN45" s="399">
        <v>31.239225663522074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870.59229721503584</v>
      </c>
      <c r="BH45" s="399">
        <v>0</v>
      </c>
      <c r="BI45" s="399">
        <v>0</v>
      </c>
      <c r="BJ45" s="399">
        <v>0</v>
      </c>
      <c r="BK45" s="399">
        <v>4937.1099999999997</v>
      </c>
      <c r="BL45" s="399">
        <v>258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11316.233819224382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21550.523500000003</v>
      </c>
      <c r="CJ45" s="399">
        <v>-2761.6572500000002</v>
      </c>
      <c r="CK45" s="399"/>
      <c r="CL45" s="399"/>
      <c r="CM45" s="399"/>
      <c r="CN45" s="399"/>
      <c r="CO45" s="399">
        <v>-3213.0843000000013</v>
      </c>
      <c r="CP45" s="399">
        <v>448.38629999999904</v>
      </c>
      <c r="CQ45" s="399">
        <v>30</v>
      </c>
      <c r="CR45" s="399">
        <v>865.3354779325673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-26.875520835788848</v>
      </c>
      <c r="DA45" s="399">
        <v>0</v>
      </c>
      <c r="DB45" s="399">
        <v>0</v>
      </c>
      <c r="DC45" s="399">
        <v>448.22648022576504</v>
      </c>
      <c r="DD45" s="399">
        <v>0</v>
      </c>
      <c r="DE45" s="399">
        <v>0</v>
      </c>
      <c r="DF45" s="399">
        <v>0</v>
      </c>
      <c r="DG45" s="399">
        <v>37.357449063337071</v>
      </c>
      <c r="DH45" s="399">
        <v>0</v>
      </c>
      <c r="DI45" s="399">
        <v>355.02236562961207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47.880904156549661</v>
      </c>
      <c r="DP45" s="399">
        <v>3.7237996930910704</v>
      </c>
      <c r="DQ45" s="399">
        <v>0</v>
      </c>
      <c r="DR45" s="399">
        <v>0</v>
      </c>
      <c r="DS45" s="399"/>
      <c r="DT45" s="399"/>
      <c r="DU45" s="399"/>
      <c r="DV45" s="399">
        <v>7022.0805536899761</v>
      </c>
      <c r="DW45" s="399">
        <v>0</v>
      </c>
      <c r="DX45" s="399">
        <v>0</v>
      </c>
      <c r="DY45" s="399">
        <v>-3213.0843000000023</v>
      </c>
      <c r="DZ45" s="399">
        <v>448.3862999999983</v>
      </c>
      <c r="EA45" s="399">
        <v>0</v>
      </c>
      <c r="EB45" s="399">
        <v>0</v>
      </c>
      <c r="EC45" s="399">
        <v>-3630.3175670493752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232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2328</v>
      </c>
      <c r="D46" s="399" t="s">
        <v>1821</v>
      </c>
      <c r="E46" s="399" t="s">
        <v>889</v>
      </c>
      <c r="F46" s="399" t="s">
        <v>2331</v>
      </c>
      <c r="G46" s="399" t="s">
        <v>1239</v>
      </c>
      <c r="H46" s="399" t="s">
        <v>1239</v>
      </c>
      <c r="I46" s="399" t="s">
        <v>1239</v>
      </c>
      <c r="J46" s="399" t="s">
        <v>2326</v>
      </c>
      <c r="K46" s="788">
        <v>44501</v>
      </c>
      <c r="L46" s="399">
        <v>0</v>
      </c>
      <c r="M46" s="399">
        <v>0</v>
      </c>
      <c r="N46" s="399">
        <v>0.09</v>
      </c>
      <c r="O46" s="399">
        <v>0.09</v>
      </c>
      <c r="P46" s="399">
        <v>0.09</v>
      </c>
      <c r="Q46" s="399">
        <v>0.09</v>
      </c>
      <c r="R46" s="399"/>
      <c r="S46" s="399">
        <v>325.25</v>
      </c>
      <c r="T46" s="399">
        <v>297.72000000000003</v>
      </c>
      <c r="U46" s="399"/>
      <c r="V46" s="399">
        <v>56.067300000000003</v>
      </c>
      <c r="W46" s="399">
        <v>56.067300000000003</v>
      </c>
      <c r="X46" s="399">
        <v>47.941199999999995</v>
      </c>
      <c r="Y46" s="399">
        <v>0</v>
      </c>
      <c r="Z46" s="399">
        <v>0</v>
      </c>
      <c r="AA46" s="399">
        <v>0</v>
      </c>
      <c r="AB46" s="399">
        <v>0</v>
      </c>
      <c r="AC46" s="399">
        <v>0</v>
      </c>
      <c r="AD46" s="399">
        <v>8.9457752858837569</v>
      </c>
      <c r="AE46" s="399">
        <v>18.013032630243629</v>
      </c>
      <c r="AF46" s="399">
        <v>26.795147127856378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0</v>
      </c>
      <c r="AM46" s="399"/>
      <c r="AN46" s="399">
        <v>8.0134824275815489E-2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2.2332423186362611</v>
      </c>
      <c r="BH46" s="399">
        <v>0</v>
      </c>
      <c r="BI46" s="399">
        <v>0</v>
      </c>
      <c r="BJ46" s="399">
        <v>0</v>
      </c>
      <c r="BK46" s="399">
        <v>2.19</v>
      </c>
      <c r="BL46" s="399">
        <v>0</v>
      </c>
      <c r="BM46" s="399"/>
      <c r="BN46" s="399"/>
      <c r="BO46" s="399"/>
      <c r="BP46" s="399"/>
      <c r="BQ46" s="399"/>
      <c r="BR46" s="399"/>
      <c r="BS46" s="399"/>
      <c r="BT46" s="399">
        <v>31.162499999999998</v>
      </c>
      <c r="BU46" s="399"/>
      <c r="BV46" s="399">
        <v>29.028389446492639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16.778700000000001</v>
      </c>
      <c r="CJ46" s="399">
        <v>-2.8749000000000002</v>
      </c>
      <c r="CK46" s="399"/>
      <c r="CL46" s="399"/>
      <c r="CM46" s="399"/>
      <c r="CN46" s="399"/>
      <c r="CO46" s="399">
        <v>-9.2762999999999991</v>
      </c>
      <c r="CP46" s="399">
        <v>1.1501999999999974</v>
      </c>
      <c r="CQ46" s="399">
        <v>30</v>
      </c>
      <c r="CR46" s="399">
        <v>1.1862305467629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-6.8941053875473557E-2</v>
      </c>
      <c r="DA46" s="399">
        <v>0</v>
      </c>
      <c r="DB46" s="399">
        <v>0</v>
      </c>
      <c r="DC46" s="399">
        <v>1.1497900305064519</v>
      </c>
      <c r="DD46" s="399">
        <v>0</v>
      </c>
      <c r="DE46" s="399">
        <v>0</v>
      </c>
      <c r="DF46" s="399">
        <v>0</v>
      </c>
      <c r="DG46" s="399">
        <v>9.5829283616939875E-2</v>
      </c>
      <c r="DH46" s="399">
        <v>0</v>
      </c>
      <c r="DI46" s="399">
        <v>0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0</v>
      </c>
      <c r="DP46" s="399">
        <v>9.5522865149835073E-3</v>
      </c>
      <c r="DQ46" s="399">
        <v>0</v>
      </c>
      <c r="DR46" s="399">
        <v>0</v>
      </c>
      <c r="DS46" s="399"/>
      <c r="DT46" s="399"/>
      <c r="DU46" s="399"/>
      <c r="DV46" s="399">
        <v>18.013032630243629</v>
      </c>
      <c r="DW46" s="399">
        <v>0</v>
      </c>
      <c r="DX46" s="399">
        <v>0</v>
      </c>
      <c r="DY46" s="399">
        <v>-9.2762999999999991</v>
      </c>
      <c r="DZ46" s="399">
        <v>1.1501999999999981</v>
      </c>
      <c r="EA46" s="399">
        <v>0</v>
      </c>
      <c r="EB46" s="399">
        <v>0</v>
      </c>
      <c r="EC46" s="399">
        <v>-9.3124862771681247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232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2328</v>
      </c>
      <c r="D47" s="399" t="s">
        <v>1821</v>
      </c>
      <c r="E47" s="399" t="s">
        <v>889</v>
      </c>
      <c r="F47" s="399" t="s">
        <v>2332</v>
      </c>
      <c r="G47" s="399" t="s">
        <v>1239</v>
      </c>
      <c r="H47" s="399" t="s">
        <v>1239</v>
      </c>
      <c r="I47" s="399" t="s">
        <v>1239</v>
      </c>
      <c r="J47" s="399" t="s">
        <v>2326</v>
      </c>
      <c r="K47" s="788">
        <v>44501</v>
      </c>
      <c r="L47" s="399">
        <v>0</v>
      </c>
      <c r="M47" s="399">
        <v>0</v>
      </c>
      <c r="N47" s="399">
        <v>0.21</v>
      </c>
      <c r="O47" s="399">
        <v>0.21</v>
      </c>
      <c r="P47" s="399">
        <v>0.21</v>
      </c>
      <c r="Q47" s="399">
        <v>0.21</v>
      </c>
      <c r="R47" s="399"/>
      <c r="S47" s="399">
        <v>325.25</v>
      </c>
      <c r="T47" s="399">
        <v>297.72000000000003</v>
      </c>
      <c r="U47" s="399"/>
      <c r="V47" s="399">
        <v>130.8237</v>
      </c>
      <c r="W47" s="399">
        <v>130.8237</v>
      </c>
      <c r="X47" s="399">
        <v>111.86279999999999</v>
      </c>
      <c r="Y47" s="399">
        <v>0</v>
      </c>
      <c r="Z47" s="399">
        <v>0</v>
      </c>
      <c r="AA47" s="399">
        <v>0</v>
      </c>
      <c r="AB47" s="399">
        <v>0</v>
      </c>
      <c r="AC47" s="399">
        <v>0</v>
      </c>
      <c r="AD47" s="399">
        <v>20.873475667062099</v>
      </c>
      <c r="AE47" s="399">
        <v>42.030409470568472</v>
      </c>
      <c r="AF47" s="399">
        <v>62.522009964998219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0</v>
      </c>
      <c r="AM47" s="399"/>
      <c r="AN47" s="399">
        <v>0.18698125664356949</v>
      </c>
      <c r="AO47" s="399">
        <v>0</v>
      </c>
      <c r="AP47" s="399">
        <v>0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5.2108987434846092</v>
      </c>
      <c r="BH47" s="399">
        <v>0</v>
      </c>
      <c r="BI47" s="399">
        <v>0</v>
      </c>
      <c r="BJ47" s="399">
        <v>0</v>
      </c>
      <c r="BK47" s="399">
        <v>8.8800000000000008</v>
      </c>
      <c r="BL47" s="399">
        <v>0</v>
      </c>
      <c r="BM47" s="399"/>
      <c r="BN47" s="399"/>
      <c r="BO47" s="399"/>
      <c r="BP47" s="399"/>
      <c r="BQ47" s="399"/>
      <c r="BR47" s="399"/>
      <c r="BS47" s="399"/>
      <c r="BT47" s="399">
        <v>44.744699999999995</v>
      </c>
      <c r="BU47" s="399"/>
      <c r="BV47" s="399">
        <v>67.732908708482825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67.118099999999998</v>
      </c>
      <c r="CJ47" s="399">
        <v>-11.405699999999996</v>
      </c>
      <c r="CK47" s="399"/>
      <c r="CL47" s="399"/>
      <c r="CM47" s="399"/>
      <c r="CN47" s="399"/>
      <c r="CO47" s="399">
        <v>-21.644699999999997</v>
      </c>
      <c r="CP47" s="399">
        <v>2.683799999999994</v>
      </c>
      <c r="CQ47" s="399">
        <v>30</v>
      </c>
      <c r="CR47" s="399">
        <v>2.7678712757801094</v>
      </c>
      <c r="CS47" s="399">
        <v>0</v>
      </c>
      <c r="CT47" s="399">
        <v>0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-0.16086245904277163</v>
      </c>
      <c r="DA47" s="399">
        <v>0</v>
      </c>
      <c r="DB47" s="399">
        <v>0</v>
      </c>
      <c r="DC47" s="399">
        <v>2.6828434045150544</v>
      </c>
      <c r="DD47" s="399">
        <v>0</v>
      </c>
      <c r="DE47" s="399">
        <v>0</v>
      </c>
      <c r="DF47" s="399">
        <v>0</v>
      </c>
      <c r="DG47" s="399">
        <v>0.22360166177286001</v>
      </c>
      <c r="DH47" s="399">
        <v>0</v>
      </c>
      <c r="DI47" s="399">
        <v>0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0</v>
      </c>
      <c r="DP47" s="399">
        <v>2.2288668534961503E-2</v>
      </c>
      <c r="DQ47" s="399">
        <v>0</v>
      </c>
      <c r="DR47" s="399">
        <v>0</v>
      </c>
      <c r="DS47" s="399"/>
      <c r="DT47" s="399"/>
      <c r="DU47" s="399"/>
      <c r="DV47" s="399">
        <v>42.030409470568472</v>
      </c>
      <c r="DW47" s="399">
        <v>0</v>
      </c>
      <c r="DX47" s="399">
        <v>0</v>
      </c>
      <c r="DY47" s="399">
        <v>-21.644699999999993</v>
      </c>
      <c r="DZ47" s="399">
        <v>2.683799999999998</v>
      </c>
      <c r="EA47" s="399">
        <v>0</v>
      </c>
      <c r="EB47" s="399">
        <v>0</v>
      </c>
      <c r="EC47" s="399">
        <v>-21.72913464672563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0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232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956</v>
      </c>
      <c r="C48" s="399" t="s">
        <v>2328</v>
      </c>
      <c r="D48" s="399" t="s">
        <v>1821</v>
      </c>
      <c r="E48" s="399" t="s">
        <v>889</v>
      </c>
      <c r="F48" s="399" t="s">
        <v>2333</v>
      </c>
      <c r="G48" s="399" t="s">
        <v>1239</v>
      </c>
      <c r="H48" s="399" t="s">
        <v>1239</v>
      </c>
      <c r="I48" s="399" t="s">
        <v>1239</v>
      </c>
      <c r="J48" s="399" t="s">
        <v>2326</v>
      </c>
      <c r="K48" s="788">
        <v>44501</v>
      </c>
      <c r="L48" s="399">
        <v>0</v>
      </c>
      <c r="M48" s="399">
        <v>0</v>
      </c>
      <c r="N48" s="399">
        <v>0.215</v>
      </c>
      <c r="O48" s="399">
        <v>0.215</v>
      </c>
      <c r="P48" s="399">
        <v>0.215</v>
      </c>
      <c r="Q48" s="399">
        <v>0.215</v>
      </c>
      <c r="R48" s="399"/>
      <c r="S48" s="399">
        <v>325.25</v>
      </c>
      <c r="T48" s="399">
        <v>297.72000000000003</v>
      </c>
      <c r="U48" s="399"/>
      <c r="V48" s="399">
        <v>133.93854999999999</v>
      </c>
      <c r="W48" s="399">
        <v>133.93854999999999</v>
      </c>
      <c r="X48" s="399">
        <v>114.52619999999999</v>
      </c>
      <c r="Y48" s="399">
        <v>0</v>
      </c>
      <c r="Z48" s="399">
        <v>0</v>
      </c>
      <c r="AA48" s="399">
        <v>0</v>
      </c>
      <c r="AB48" s="399">
        <v>0</v>
      </c>
      <c r="AC48" s="399">
        <v>0</v>
      </c>
      <c r="AD48" s="399">
        <v>21.370463182944533</v>
      </c>
      <c r="AE48" s="399">
        <v>43.031133505582005</v>
      </c>
      <c r="AF48" s="399">
        <v>64.01062924987913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0</v>
      </c>
      <c r="AM48" s="399"/>
      <c r="AN48" s="399">
        <v>0.19143319132555925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5.3349677611866237</v>
      </c>
      <c r="BH48" s="399">
        <v>0</v>
      </c>
      <c r="BI48" s="399">
        <v>0</v>
      </c>
      <c r="BJ48" s="399">
        <v>0</v>
      </c>
      <c r="BK48" s="399">
        <v>22.9</v>
      </c>
      <c r="BL48" s="399">
        <v>3</v>
      </c>
      <c r="BM48" s="399"/>
      <c r="BN48" s="399"/>
      <c r="BO48" s="399"/>
      <c r="BP48" s="399"/>
      <c r="BQ48" s="399"/>
      <c r="BR48" s="399"/>
      <c r="BS48" s="399"/>
      <c r="BT48" s="399">
        <v>11.453050000000001</v>
      </c>
      <c r="BU48" s="399"/>
      <c r="BV48" s="399">
        <v>69.345597011065749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105.47020000000001</v>
      </c>
      <c r="CJ48" s="399">
        <v>-15.103849999999994</v>
      </c>
      <c r="CK48" s="399"/>
      <c r="CL48" s="399"/>
      <c r="CM48" s="399"/>
      <c r="CN48" s="399"/>
      <c r="CO48" s="399">
        <v>-22.160049999999998</v>
      </c>
      <c r="CP48" s="399">
        <v>2.7476999999999943</v>
      </c>
      <c r="CQ48" s="399">
        <v>30</v>
      </c>
      <c r="CR48" s="399">
        <v>2.8337729728224872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-0.16469251759141201</v>
      </c>
      <c r="DA48" s="399">
        <v>0</v>
      </c>
      <c r="DB48" s="399">
        <v>0</v>
      </c>
      <c r="DC48" s="399">
        <v>2.7467206284320724</v>
      </c>
      <c r="DD48" s="399">
        <v>0</v>
      </c>
      <c r="DE48" s="399">
        <v>0</v>
      </c>
      <c r="DF48" s="399">
        <v>0</v>
      </c>
      <c r="DG48" s="399">
        <v>0.22892551086268931</v>
      </c>
      <c r="DH48" s="399">
        <v>0</v>
      </c>
      <c r="DI48" s="399">
        <v>0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0</v>
      </c>
      <c r="DP48" s="399">
        <v>2.2819351119127251E-2</v>
      </c>
      <c r="DQ48" s="399">
        <v>0</v>
      </c>
      <c r="DR48" s="399">
        <v>0</v>
      </c>
      <c r="DS48" s="399"/>
      <c r="DT48" s="399"/>
      <c r="DU48" s="399"/>
      <c r="DV48" s="399">
        <v>43.031133505582005</v>
      </c>
      <c r="DW48" s="399">
        <v>0</v>
      </c>
      <c r="DX48" s="399">
        <v>0</v>
      </c>
      <c r="DY48" s="399">
        <v>-22.160049999999991</v>
      </c>
      <c r="DZ48" s="399">
        <v>2.7476999999999947</v>
      </c>
      <c r="EA48" s="399">
        <v>0</v>
      </c>
      <c r="EB48" s="399">
        <v>0</v>
      </c>
      <c r="EC48" s="399">
        <v>-22.246494995457187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232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2328</v>
      </c>
      <c r="D49" s="399" t="s">
        <v>1824</v>
      </c>
      <c r="E49" s="399" t="s">
        <v>890</v>
      </c>
      <c r="F49" s="399" t="s">
        <v>1239</v>
      </c>
      <c r="G49" s="399" t="s">
        <v>1239</v>
      </c>
      <c r="H49" s="399" t="s">
        <v>1239</v>
      </c>
      <c r="I49" s="399" t="s">
        <v>1239</v>
      </c>
      <c r="J49" s="399" t="s">
        <v>2326</v>
      </c>
      <c r="K49" s="788">
        <v>44501</v>
      </c>
      <c r="L49" s="399">
        <v>0</v>
      </c>
      <c r="M49" s="399">
        <v>0</v>
      </c>
      <c r="N49" s="399">
        <v>0.42</v>
      </c>
      <c r="O49" s="399">
        <v>0.42</v>
      </c>
      <c r="P49" s="399">
        <v>0.42</v>
      </c>
      <c r="Q49" s="399">
        <v>0.42</v>
      </c>
      <c r="R49" s="399"/>
      <c r="S49" s="399">
        <v>395.23</v>
      </c>
      <c r="T49" s="399">
        <v>297.72000000000003</v>
      </c>
      <c r="U49" s="399"/>
      <c r="V49" s="399">
        <v>291.03899999999999</v>
      </c>
      <c r="W49" s="399">
        <v>291.03899999999999</v>
      </c>
      <c r="X49" s="399">
        <v>257.94299999999998</v>
      </c>
      <c r="Y49" s="399">
        <v>0</v>
      </c>
      <c r="Z49" s="399">
        <v>25.456879694629237</v>
      </c>
      <c r="AA49" s="399">
        <v>0</v>
      </c>
      <c r="AB49" s="399">
        <v>0</v>
      </c>
      <c r="AC49" s="399">
        <v>0</v>
      </c>
      <c r="AD49" s="399">
        <v>41.746951334124198</v>
      </c>
      <c r="AE49" s="399">
        <v>84.060818941136944</v>
      </c>
      <c r="AF49" s="399">
        <v>125.04401992999644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3.9357727101922655</v>
      </c>
      <c r="AM49" s="399"/>
      <c r="AN49" s="399">
        <v>0.37396251328713898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10.421797486969218</v>
      </c>
      <c r="BH49" s="399">
        <v>0</v>
      </c>
      <c r="BI49" s="399">
        <v>0</v>
      </c>
      <c r="BJ49" s="399">
        <v>0</v>
      </c>
      <c r="BK49" s="399">
        <v>103.18</v>
      </c>
      <c r="BL49" s="399">
        <v>2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135.46581741696565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257.94299999999998</v>
      </c>
      <c r="CJ49" s="399">
        <v>-33.125999999999976</v>
      </c>
      <c r="CK49" s="399"/>
      <c r="CL49" s="399"/>
      <c r="CM49" s="399"/>
      <c r="CN49" s="399"/>
      <c r="CO49" s="399">
        <v>-38.463600000000014</v>
      </c>
      <c r="CP49" s="399">
        <v>5.3675999999999879</v>
      </c>
      <c r="CQ49" s="399">
        <v>30</v>
      </c>
      <c r="CR49" s="399">
        <v>10.358868483160308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-0.32172491808554327</v>
      </c>
      <c r="DA49" s="399">
        <v>0</v>
      </c>
      <c r="DB49" s="399">
        <v>0</v>
      </c>
      <c r="DC49" s="399">
        <v>5.3656868090301089</v>
      </c>
      <c r="DD49" s="399">
        <v>0</v>
      </c>
      <c r="DE49" s="399">
        <v>0</v>
      </c>
      <c r="DF49" s="399">
        <v>0</v>
      </c>
      <c r="DG49" s="399">
        <v>0.44720332354572001</v>
      </c>
      <c r="DH49" s="399">
        <v>0</v>
      </c>
      <c r="DI49" s="399">
        <v>4.249947087485733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0.57317884411431885</v>
      </c>
      <c r="DP49" s="399">
        <v>4.4577337069923006E-2</v>
      </c>
      <c r="DQ49" s="399">
        <v>0</v>
      </c>
      <c r="DR49" s="399">
        <v>0</v>
      </c>
      <c r="DS49" s="399"/>
      <c r="DT49" s="399"/>
      <c r="DU49" s="399"/>
      <c r="DV49" s="399">
        <v>84.060818941136944</v>
      </c>
      <c r="DW49" s="399">
        <v>0</v>
      </c>
      <c r="DX49" s="399">
        <v>0</v>
      </c>
      <c r="DY49" s="399">
        <v>-38.463600000000014</v>
      </c>
      <c r="DZ49" s="399">
        <v>5.3675999999999959</v>
      </c>
      <c r="EA49" s="399">
        <v>0</v>
      </c>
      <c r="EB49" s="399">
        <v>0</v>
      </c>
      <c r="EC49" s="399">
        <v>-43.458269293451259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232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2343</v>
      </c>
      <c r="D50" s="399" t="s">
        <v>533</v>
      </c>
      <c r="E50" s="399" t="s">
        <v>890</v>
      </c>
      <c r="F50" s="399" t="s">
        <v>1239</v>
      </c>
      <c r="G50" s="399" t="s">
        <v>1239</v>
      </c>
      <c r="H50" s="399" t="s">
        <v>1239</v>
      </c>
      <c r="I50" s="399" t="s">
        <v>893</v>
      </c>
      <c r="J50" s="399" t="s">
        <v>2326</v>
      </c>
      <c r="K50" s="788">
        <v>44501</v>
      </c>
      <c r="L50" s="399">
        <v>605</v>
      </c>
      <c r="M50" s="399">
        <v>605</v>
      </c>
      <c r="N50" s="399">
        <v>25.48</v>
      </c>
      <c r="O50" s="399">
        <v>25.48</v>
      </c>
      <c r="P50" s="399">
        <v>25.48</v>
      </c>
      <c r="Q50" s="399">
        <v>25.48</v>
      </c>
      <c r="R50" s="399">
        <v>78.569999999999993</v>
      </c>
      <c r="S50" s="399">
        <v>72.290000000000006</v>
      </c>
      <c r="T50" s="399">
        <v>297.72000000000003</v>
      </c>
      <c r="U50" s="399">
        <v>47534.85</v>
      </c>
      <c r="V50" s="399">
        <v>9427.854800000001</v>
      </c>
      <c r="W50" s="399">
        <v>56962.7048</v>
      </c>
      <c r="X50" s="399">
        <v>42380.251199999999</v>
      </c>
      <c r="Y50" s="399">
        <v>0</v>
      </c>
      <c r="Z50" s="399">
        <v>1343.6141102825325</v>
      </c>
      <c r="AA50" s="399">
        <v>0</v>
      </c>
      <c r="AB50" s="399">
        <v>0</v>
      </c>
      <c r="AC50" s="399">
        <v>0</v>
      </c>
      <c r="AD50" s="399">
        <v>18441.514939994518</v>
      </c>
      <c r="AE50" s="399">
        <v>29094.97188533032</v>
      </c>
      <c r="AF50" s="399">
        <v>7586.0038757531174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238.77021108499744</v>
      </c>
      <c r="AM50" s="399"/>
      <c r="AN50" s="399">
        <v>15.363262919033062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244.10993382708961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/>
      <c r="BS50" s="399"/>
      <c r="BT50" s="399"/>
      <c r="BU50" s="399"/>
      <c r="BV50" s="399">
        <v>7830.1138095802071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42380.251199999999</v>
      </c>
      <c r="CJ50" s="399">
        <v>-14582.483600000007</v>
      </c>
      <c r="CK50" s="399"/>
      <c r="CL50" s="399"/>
      <c r="CM50" s="399"/>
      <c r="CN50" s="399"/>
      <c r="CO50" s="399">
        <v>-14908.087999999998</v>
      </c>
      <c r="CP50" s="399">
        <v>325.63439999999929</v>
      </c>
      <c r="CQ50" s="399">
        <v>30</v>
      </c>
      <c r="CR50" s="399">
        <v>454.7891482822306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-142.12043499790889</v>
      </c>
      <c r="DA50" s="399">
        <v>0</v>
      </c>
      <c r="DB50" s="399">
        <v>0</v>
      </c>
      <c r="DC50" s="399">
        <v>325.51833308115965</v>
      </c>
      <c r="DD50" s="399">
        <v>0</v>
      </c>
      <c r="DE50" s="399">
        <v>0</v>
      </c>
      <c r="DF50" s="399">
        <v>0</v>
      </c>
      <c r="DG50" s="399">
        <v>10.474850797522691</v>
      </c>
      <c r="DH50" s="399">
        <v>0</v>
      </c>
      <c r="DI50" s="399">
        <v>224.31220727749474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34.77284987626868</v>
      </c>
      <c r="DP50" s="399">
        <v>1.8313422476913601</v>
      </c>
      <c r="DQ50" s="399">
        <v>0</v>
      </c>
      <c r="DR50" s="399">
        <v>0</v>
      </c>
      <c r="DS50" s="399"/>
      <c r="DT50" s="399"/>
      <c r="DU50" s="399">
        <v>29094.97188533032</v>
      </c>
      <c r="DV50" s="399">
        <v>0</v>
      </c>
      <c r="DW50" s="399">
        <v>0</v>
      </c>
      <c r="DX50" s="399">
        <v>0</v>
      </c>
      <c r="DY50" s="399">
        <v>-14908.088000000003</v>
      </c>
      <c r="DZ50" s="399">
        <v>325.634399999999</v>
      </c>
      <c r="EA50" s="399">
        <v>0</v>
      </c>
      <c r="EB50" s="399">
        <v>0</v>
      </c>
      <c r="EC50" s="399">
        <v>-15041.694087747075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232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2343</v>
      </c>
      <c r="D51" s="399" t="s">
        <v>533</v>
      </c>
      <c r="E51" s="399" t="s">
        <v>890</v>
      </c>
      <c r="F51" s="399" t="s">
        <v>1239</v>
      </c>
      <c r="G51" s="399" t="s">
        <v>1239</v>
      </c>
      <c r="H51" s="399" t="s">
        <v>1239</v>
      </c>
      <c r="I51" s="399" t="s">
        <v>2323</v>
      </c>
      <c r="J51" s="399" t="s">
        <v>2326</v>
      </c>
      <c r="K51" s="788">
        <v>44501</v>
      </c>
      <c r="L51" s="399">
        <v>611</v>
      </c>
      <c r="M51" s="399">
        <v>611</v>
      </c>
      <c r="N51" s="399">
        <v>204.06399999999999</v>
      </c>
      <c r="O51" s="399">
        <v>204.06399999999999</v>
      </c>
      <c r="P51" s="399">
        <v>204.06399999999999</v>
      </c>
      <c r="Q51" s="399">
        <v>204.06399999999999</v>
      </c>
      <c r="R51" s="399">
        <v>25.76</v>
      </c>
      <c r="S51" s="399">
        <v>72.290000000000006</v>
      </c>
      <c r="T51" s="399">
        <v>297.72000000000003</v>
      </c>
      <c r="U51" s="399">
        <v>15739.36</v>
      </c>
      <c r="V51" s="399">
        <v>75505.720640000014</v>
      </c>
      <c r="W51" s="399">
        <v>91245.08064</v>
      </c>
      <c r="X51" s="399">
        <v>91724.860159999997</v>
      </c>
      <c r="Y51" s="399">
        <v>0</v>
      </c>
      <c r="Z51" s="399">
        <v>10760.724874438567</v>
      </c>
      <c r="AA51" s="399">
        <v>0</v>
      </c>
      <c r="AB51" s="399">
        <v>0</v>
      </c>
      <c r="AC51" s="399">
        <v>0</v>
      </c>
      <c r="AD51" s="399">
        <v>7527.7505433991673</v>
      </c>
      <c r="AE51" s="399">
        <v>8210.7781048810957</v>
      </c>
      <c r="AF51" s="399">
        <v>60754.721149987599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1912.2607674587487</v>
      </c>
      <c r="AM51" s="399"/>
      <c r="AN51" s="399">
        <v>123.04116500429994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1955.0254920129989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62709.746642000595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91723.286399999997</v>
      </c>
      <c r="CJ51" s="399">
        <v>478.17575999999826</v>
      </c>
      <c r="CK51" s="399"/>
      <c r="CL51" s="399"/>
      <c r="CM51" s="399"/>
      <c r="CN51" s="399"/>
      <c r="CO51" s="399">
        <v>-2128.1584000000034</v>
      </c>
      <c r="CP51" s="399">
        <v>2607.9379199999944</v>
      </c>
      <c r="CQ51" s="399">
        <v>30</v>
      </c>
      <c r="CR51" s="399">
        <v>4722.5112460321398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-58.012976985069145</v>
      </c>
      <c r="DA51" s="399">
        <v>0</v>
      </c>
      <c r="DB51" s="399">
        <v>0</v>
      </c>
      <c r="DC51" s="399">
        <v>2607.0083642807658</v>
      </c>
      <c r="DD51" s="399">
        <v>0</v>
      </c>
      <c r="DE51" s="399">
        <v>0</v>
      </c>
      <c r="DF51" s="399">
        <v>0</v>
      </c>
      <c r="DG51" s="399">
        <v>83.890892980599347</v>
      </c>
      <c r="DH51" s="399">
        <v>0</v>
      </c>
      <c r="DI51" s="399">
        <v>1796.4696336685502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278.488494393677</v>
      </c>
      <c r="DP51" s="399">
        <v>14.666837693598509</v>
      </c>
      <c r="DQ51" s="399">
        <v>0</v>
      </c>
      <c r="DR51" s="399">
        <v>0</v>
      </c>
      <c r="DS51" s="399"/>
      <c r="DT51" s="399"/>
      <c r="DU51" s="399">
        <v>8210.7781048810957</v>
      </c>
      <c r="DV51" s="399">
        <v>0</v>
      </c>
      <c r="DW51" s="399">
        <v>0</v>
      </c>
      <c r="DX51" s="399">
        <v>0</v>
      </c>
      <c r="DY51" s="399">
        <v>-2128.1584000000003</v>
      </c>
      <c r="DZ51" s="399">
        <v>2607.9379199999894</v>
      </c>
      <c r="EA51" s="399">
        <v>0</v>
      </c>
      <c r="EB51" s="399">
        <v>0</v>
      </c>
      <c r="EC51" s="399">
        <v>-4244.8575981702043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232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2343</v>
      </c>
      <c r="D52" s="399" t="s">
        <v>533</v>
      </c>
      <c r="E52" s="399" t="s">
        <v>890</v>
      </c>
      <c r="F52" s="399" t="s">
        <v>1239</v>
      </c>
      <c r="G52" s="399" t="s">
        <v>1239</v>
      </c>
      <c r="H52" s="399" t="s">
        <v>1239</v>
      </c>
      <c r="I52" s="399" t="s">
        <v>1239</v>
      </c>
      <c r="J52" s="399" t="s">
        <v>2326</v>
      </c>
      <c r="K52" s="788">
        <v>44501</v>
      </c>
      <c r="L52" s="399">
        <v>0</v>
      </c>
      <c r="M52" s="399">
        <v>0</v>
      </c>
      <c r="N52" s="399">
        <v>0</v>
      </c>
      <c r="O52" s="399">
        <v>0</v>
      </c>
      <c r="P52" s="399">
        <v>0</v>
      </c>
      <c r="Q52" s="399">
        <v>0</v>
      </c>
      <c r="R52" s="399"/>
      <c r="S52" s="399"/>
      <c r="T52" s="399"/>
      <c r="U52" s="399"/>
      <c r="V52" s="399"/>
      <c r="W52" s="399"/>
      <c r="X52" s="399"/>
      <c r="Y52" s="399"/>
      <c r="Z52" s="399"/>
      <c r="AA52" s="399">
        <v>0</v>
      </c>
      <c r="AB52" s="399"/>
      <c r="AC52" s="399"/>
      <c r="AD52" s="399"/>
      <c r="AE52" s="399"/>
      <c r="AF52" s="399"/>
      <c r="AG52" s="399"/>
      <c r="AH52" s="399"/>
      <c r="AI52" s="399"/>
      <c r="AJ52" s="399"/>
      <c r="AK52" s="399"/>
      <c r="AL52" s="399"/>
      <c r="AM52" s="399"/>
      <c r="AN52" s="399"/>
      <c r="AO52" s="399"/>
      <c r="AP52" s="399"/>
      <c r="AQ52" s="399"/>
      <c r="AR52" s="399"/>
      <c r="AS52" s="399"/>
      <c r="AT52" s="399"/>
      <c r="AU52" s="399"/>
      <c r="AV52" s="399"/>
      <c r="AW52" s="399"/>
      <c r="AX52" s="399"/>
      <c r="AY52" s="399"/>
      <c r="AZ52" s="399">
        <v>0</v>
      </c>
      <c r="BA52" s="399"/>
      <c r="BB52" s="399"/>
      <c r="BC52" s="399"/>
      <c r="BD52" s="399"/>
      <c r="BE52" s="399"/>
      <c r="BF52" s="399"/>
      <c r="BG52" s="399"/>
      <c r="BH52" s="399"/>
      <c r="BI52" s="399">
        <v>0</v>
      </c>
      <c r="BJ52" s="399">
        <v>0</v>
      </c>
      <c r="BK52" s="399">
        <v>55566.78</v>
      </c>
      <c r="BL52" s="399">
        <v>1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/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/>
      <c r="CJ52" s="399">
        <v>-0.03</v>
      </c>
      <c r="CK52" s="399"/>
      <c r="CL52" s="399"/>
      <c r="CM52" s="399"/>
      <c r="CN52" s="399"/>
      <c r="CO52" s="399">
        <v>0</v>
      </c>
      <c r="CP52" s="399">
        <v>0</v>
      </c>
      <c r="CQ52" s="399">
        <v>30</v>
      </c>
      <c r="CR52" s="399"/>
      <c r="CS52" s="399"/>
      <c r="CT52" s="399"/>
      <c r="CU52" s="399"/>
      <c r="CV52" s="399"/>
      <c r="CW52" s="399"/>
      <c r="CX52" s="399"/>
      <c r="CY52" s="399"/>
      <c r="CZ52" s="399"/>
      <c r="DA52" s="399"/>
      <c r="DB52" s="399"/>
      <c r="DC52" s="399"/>
      <c r="DD52" s="399"/>
      <c r="DE52" s="399"/>
      <c r="DF52" s="399"/>
      <c r="DG52" s="399"/>
      <c r="DH52" s="399"/>
      <c r="DI52" s="399"/>
      <c r="DJ52" s="399"/>
      <c r="DK52" s="399">
        <v>0</v>
      </c>
      <c r="DL52" s="399"/>
      <c r="DM52" s="399"/>
      <c r="DN52" s="399"/>
      <c r="DO52" s="399"/>
      <c r="DP52" s="399"/>
      <c r="DQ52" s="399"/>
      <c r="DR52" s="399"/>
      <c r="DS52" s="399"/>
      <c r="DT52" s="399"/>
      <c r="DU52" s="399"/>
      <c r="DV52" s="399"/>
      <c r="DW52" s="399"/>
      <c r="DX52" s="399"/>
      <c r="DY52" s="399"/>
      <c r="DZ52" s="399"/>
      <c r="EA52" s="399"/>
      <c r="EB52" s="399"/>
      <c r="EC52" s="399"/>
      <c r="ED52" s="399"/>
      <c r="EE52" s="399"/>
      <c r="EF52" s="399"/>
      <c r="EG52" s="399"/>
      <c r="EH52" s="399"/>
      <c r="EI52" s="399"/>
      <c r="EJ52" s="399"/>
      <c r="EK52" s="399"/>
      <c r="EL52" s="399"/>
      <c r="EM52" s="399"/>
      <c r="EN52" s="399"/>
      <c r="EO52" s="399"/>
      <c r="EP52" s="399"/>
      <c r="EQ52" s="399"/>
      <c r="ER52" s="399"/>
      <c r="ES52" s="399"/>
      <c r="ET52" s="399"/>
      <c r="EU52" s="399"/>
      <c r="EV52" s="399">
        <v>232</v>
      </c>
      <c r="EW52" s="399"/>
      <c r="EX52" s="399"/>
      <c r="EY52" s="399"/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2325</v>
      </c>
      <c r="D53" s="399" t="s">
        <v>533</v>
      </c>
      <c r="E53" s="399" t="s">
        <v>890</v>
      </c>
      <c r="F53" s="399" t="s">
        <v>1239</v>
      </c>
      <c r="G53" s="399" t="s">
        <v>1239</v>
      </c>
      <c r="H53" s="399" t="s">
        <v>1239</v>
      </c>
      <c r="I53" s="399" t="s">
        <v>893</v>
      </c>
      <c r="J53" s="399" t="s">
        <v>2326</v>
      </c>
      <c r="K53" s="788">
        <v>44501</v>
      </c>
      <c r="L53" s="399">
        <v>0</v>
      </c>
      <c r="M53" s="399">
        <v>0</v>
      </c>
      <c r="N53" s="399">
        <v>44.64</v>
      </c>
      <c r="O53" s="399">
        <v>44.64</v>
      </c>
      <c r="P53" s="399">
        <v>44.64</v>
      </c>
      <c r="Q53" s="399">
        <v>44.64</v>
      </c>
      <c r="R53" s="399"/>
      <c r="S53" s="399">
        <v>1962.25</v>
      </c>
      <c r="T53" s="399">
        <v>297.72000000000003</v>
      </c>
      <c r="U53" s="399"/>
      <c r="V53" s="399">
        <v>100885.06079999999</v>
      </c>
      <c r="W53" s="399">
        <v>100885.06079999999</v>
      </c>
      <c r="X53" s="399">
        <v>74986.718399999998</v>
      </c>
      <c r="Y53" s="399">
        <v>0</v>
      </c>
      <c r="Z53" s="399">
        <v>2353.9612983913753</v>
      </c>
      <c r="AA53" s="399">
        <v>0</v>
      </c>
      <c r="AB53" s="399">
        <v>0</v>
      </c>
      <c r="AC53" s="399">
        <v>0</v>
      </c>
      <c r="AD53" s="399">
        <v>32738.147915469373</v>
      </c>
      <c r="AE53" s="399">
        <v>51630.021501336487</v>
      </c>
      <c r="AF53" s="399">
        <v>13290.392975416764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418.31641376900649</v>
      </c>
      <c r="AM53" s="399"/>
      <c r="AN53" s="399">
        <v>26.915857798494343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427.67140683050548</v>
      </c>
      <c r="BH53" s="399">
        <v>0</v>
      </c>
      <c r="BI53" s="399">
        <v>0</v>
      </c>
      <c r="BJ53" s="399">
        <v>0</v>
      </c>
      <c r="BK53" s="399">
        <v>0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13718.06438224727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74986.718399999998</v>
      </c>
      <c r="CJ53" s="399">
        <v>-25898.372399999978</v>
      </c>
      <c r="CK53" s="399"/>
      <c r="CL53" s="399"/>
      <c r="CM53" s="399"/>
      <c r="CN53" s="399"/>
      <c r="CO53" s="399">
        <v>-26468.841600000003</v>
      </c>
      <c r="CP53" s="399">
        <v>570.49919999999884</v>
      </c>
      <c r="CQ53" s="399">
        <v>30</v>
      </c>
      <c r="CR53" s="399">
        <v>793.46496554928308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-252.29813482848112</v>
      </c>
      <c r="DA53" s="399">
        <v>0</v>
      </c>
      <c r="DB53" s="399">
        <v>0</v>
      </c>
      <c r="DC53" s="399">
        <v>570.29585513120037</v>
      </c>
      <c r="DD53" s="399">
        <v>0</v>
      </c>
      <c r="DE53" s="399">
        <v>0</v>
      </c>
      <c r="DF53" s="399">
        <v>0</v>
      </c>
      <c r="DG53" s="399">
        <v>18.351543940400859</v>
      </c>
      <c r="DH53" s="399">
        <v>0</v>
      </c>
      <c r="DI53" s="399">
        <v>392.98653582681982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60.920722860150477</v>
      </c>
      <c r="DP53" s="399">
        <v>3.2084426191892597</v>
      </c>
      <c r="DQ53" s="399">
        <v>0</v>
      </c>
      <c r="DR53" s="399">
        <v>0</v>
      </c>
      <c r="DS53" s="399"/>
      <c r="DT53" s="399"/>
      <c r="DU53" s="399"/>
      <c r="DV53" s="399">
        <v>51630.021501336487</v>
      </c>
      <c r="DW53" s="399">
        <v>0</v>
      </c>
      <c r="DX53" s="399">
        <v>0</v>
      </c>
      <c r="DY53" s="399">
        <v>-26468.8416</v>
      </c>
      <c r="DZ53" s="399">
        <v>570.49919999999838</v>
      </c>
      <c r="EA53" s="399">
        <v>0</v>
      </c>
      <c r="EB53" s="399">
        <v>0</v>
      </c>
      <c r="EC53" s="399">
        <v>-26691.999986377992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232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2325</v>
      </c>
      <c r="D54" s="399" t="s">
        <v>533</v>
      </c>
      <c r="E54" s="399" t="s">
        <v>890</v>
      </c>
      <c r="F54" s="399" t="s">
        <v>1239</v>
      </c>
      <c r="G54" s="399" t="s">
        <v>1239</v>
      </c>
      <c r="H54" s="399" t="s">
        <v>1239</v>
      </c>
      <c r="I54" s="399" t="s">
        <v>2323</v>
      </c>
      <c r="J54" s="399" t="s">
        <v>2326</v>
      </c>
      <c r="K54" s="788">
        <v>44501</v>
      </c>
      <c r="L54" s="399">
        <v>0</v>
      </c>
      <c r="M54" s="399">
        <v>0</v>
      </c>
      <c r="N54" s="399">
        <v>651.49599999999998</v>
      </c>
      <c r="O54" s="399">
        <v>651.49599999999998</v>
      </c>
      <c r="P54" s="399">
        <v>651.49599999999998</v>
      </c>
      <c r="Q54" s="399">
        <v>651.49599999999998</v>
      </c>
      <c r="R54" s="399"/>
      <c r="S54" s="399">
        <v>72.290000000000006</v>
      </c>
      <c r="T54" s="399">
        <v>297.72000000000003</v>
      </c>
      <c r="U54" s="399"/>
      <c r="V54" s="399">
        <v>241060.03496000002</v>
      </c>
      <c r="W54" s="399">
        <v>241060.03496000002</v>
      </c>
      <c r="X54" s="399">
        <v>256324.58624</v>
      </c>
      <c r="Y54" s="399">
        <v>0</v>
      </c>
      <c r="Z54" s="399">
        <v>34354.75739374524</v>
      </c>
      <c r="AA54" s="399">
        <v>0</v>
      </c>
      <c r="AB54" s="399">
        <v>0</v>
      </c>
      <c r="AC54" s="399">
        <v>0</v>
      </c>
      <c r="AD54" s="399">
        <v>0</v>
      </c>
      <c r="AE54" s="399">
        <v>0</v>
      </c>
      <c r="AF54" s="399">
        <v>193965.90192455467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6105.0956609510004</v>
      </c>
      <c r="AM54" s="399"/>
      <c r="AN54" s="399">
        <v>392.82199131469241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6241.6265874652108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200207.52851201987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256326.16</v>
      </c>
      <c r="CJ54" s="399">
        <v>15266.095039999986</v>
      </c>
      <c r="CK54" s="399"/>
      <c r="CL54" s="399"/>
      <c r="CM54" s="399"/>
      <c r="CN54" s="399"/>
      <c r="CO54" s="399">
        <v>6938.4323999999942</v>
      </c>
      <c r="CP54" s="399">
        <v>8326.1188799999818</v>
      </c>
      <c r="CQ54" s="399">
        <v>30</v>
      </c>
      <c r="CR54" s="399">
        <v>15262.331470513192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0</v>
      </c>
      <c r="DA54" s="399">
        <v>0</v>
      </c>
      <c r="DB54" s="399">
        <v>0</v>
      </c>
      <c r="DC54" s="399">
        <v>8323.1511746092292</v>
      </c>
      <c r="DD54" s="399">
        <v>0</v>
      </c>
      <c r="DE54" s="399">
        <v>0</v>
      </c>
      <c r="DF54" s="399">
        <v>0</v>
      </c>
      <c r="DG54" s="399">
        <v>267.83058850796078</v>
      </c>
      <c r="DH54" s="399">
        <v>0</v>
      </c>
      <c r="DI54" s="399">
        <v>5735.420164539195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889.10410529786168</v>
      </c>
      <c r="DP54" s="399">
        <v>46.825437558945509</v>
      </c>
      <c r="DQ54" s="399">
        <v>0</v>
      </c>
      <c r="DR54" s="399">
        <v>0</v>
      </c>
      <c r="DS54" s="399"/>
      <c r="DT54" s="399"/>
      <c r="DU54" s="399"/>
      <c r="DV54" s="399">
        <v>0</v>
      </c>
      <c r="DW54" s="399">
        <v>0</v>
      </c>
      <c r="DX54" s="399">
        <v>0</v>
      </c>
      <c r="DY54" s="399">
        <v>6938.4323999999906</v>
      </c>
      <c r="DZ54" s="399">
        <v>8326.1188799999945</v>
      </c>
      <c r="EA54" s="399">
        <v>0</v>
      </c>
      <c r="EB54" s="399">
        <v>0</v>
      </c>
      <c r="EC54" s="399">
        <v>0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232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956</v>
      </c>
      <c r="C55" s="399" t="s">
        <v>2325</v>
      </c>
      <c r="D55" s="399" t="s">
        <v>533</v>
      </c>
      <c r="E55" s="399" t="s">
        <v>890</v>
      </c>
      <c r="F55" s="399" t="s">
        <v>1239</v>
      </c>
      <c r="G55" s="399" t="s">
        <v>1239</v>
      </c>
      <c r="H55" s="399" t="s">
        <v>1239</v>
      </c>
      <c r="I55" s="399" t="s">
        <v>1239</v>
      </c>
      <c r="J55" s="399" t="s">
        <v>2326</v>
      </c>
      <c r="K55" s="788">
        <v>44501</v>
      </c>
      <c r="L55" s="399">
        <v>3050</v>
      </c>
      <c r="M55" s="399">
        <v>3050</v>
      </c>
      <c r="N55" s="399">
        <v>0</v>
      </c>
      <c r="O55" s="399">
        <v>0</v>
      </c>
      <c r="P55" s="399">
        <v>0</v>
      </c>
      <c r="Q55" s="399">
        <v>0</v>
      </c>
      <c r="R55" s="399">
        <v>25.76</v>
      </c>
      <c r="S55" s="399"/>
      <c r="T55" s="399"/>
      <c r="U55" s="399">
        <v>78568</v>
      </c>
      <c r="V55" s="399"/>
      <c r="W55" s="399">
        <v>78568</v>
      </c>
      <c r="X55" s="399">
        <v>57096</v>
      </c>
      <c r="Y55" s="399">
        <v>0</v>
      </c>
      <c r="Z55" s="399">
        <v>0</v>
      </c>
      <c r="AA55" s="399">
        <v>0</v>
      </c>
      <c r="AB55" s="399">
        <v>0</v>
      </c>
      <c r="AC55" s="399">
        <v>0</v>
      </c>
      <c r="AD55" s="399">
        <v>37577.150830388644</v>
      </c>
      <c r="AE55" s="399">
        <v>40986.699214218235</v>
      </c>
      <c r="AF55" s="399"/>
      <c r="AG55" s="399"/>
      <c r="AH55" s="399"/>
      <c r="AI55" s="399">
        <v>0</v>
      </c>
      <c r="AJ55" s="399">
        <v>0</v>
      </c>
      <c r="AK55" s="399">
        <v>0</v>
      </c>
      <c r="AL55" s="399">
        <v>0</v>
      </c>
      <c r="AM55" s="399"/>
      <c r="AN55" s="399">
        <v>0</v>
      </c>
      <c r="AO55" s="399">
        <v>0</v>
      </c>
      <c r="AP55" s="399">
        <v>0</v>
      </c>
      <c r="AQ55" s="399">
        <v>0</v>
      </c>
      <c r="AR55" s="399">
        <v>0</v>
      </c>
      <c r="AS55" s="399"/>
      <c r="AT55" s="399"/>
      <c r="AU55" s="399">
        <v>0</v>
      </c>
      <c r="AV55" s="399">
        <v>0</v>
      </c>
      <c r="AW55" s="399">
        <v>0</v>
      </c>
      <c r="AX55" s="399"/>
      <c r="AY55" s="399"/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/>
      <c r="BG55" s="399">
        <v>0</v>
      </c>
      <c r="BH55" s="399">
        <v>0</v>
      </c>
      <c r="BI55" s="399">
        <v>0</v>
      </c>
      <c r="BJ55" s="399">
        <v>0</v>
      </c>
      <c r="BK55" s="399">
        <v>154869.10999999999</v>
      </c>
      <c r="BL55" s="399">
        <v>3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0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57096</v>
      </c>
      <c r="CJ55" s="399">
        <v>-21472.029999999984</v>
      </c>
      <c r="CK55" s="399"/>
      <c r="CL55" s="399"/>
      <c r="CM55" s="399"/>
      <c r="CN55" s="399"/>
      <c r="CO55" s="399">
        <v>-21472.000000000007</v>
      </c>
      <c r="CP55" s="399">
        <v>0</v>
      </c>
      <c r="CQ55" s="399">
        <v>30</v>
      </c>
      <c r="CR55" s="399">
        <v>-289.59014697948442</v>
      </c>
      <c r="CS55" s="399">
        <v>0</v>
      </c>
      <c r="CT55" s="399">
        <v>0</v>
      </c>
      <c r="CU55" s="399">
        <v>0</v>
      </c>
      <c r="CV55" s="399">
        <v>0</v>
      </c>
      <c r="CW55" s="399"/>
      <c r="CX55" s="399"/>
      <c r="CY55" s="399"/>
      <c r="CZ55" s="399">
        <v>-289.59014697948442</v>
      </c>
      <c r="DA55" s="399">
        <v>0</v>
      </c>
      <c r="DB55" s="399">
        <v>0</v>
      </c>
      <c r="DC55" s="399"/>
      <c r="DD55" s="399"/>
      <c r="DE55" s="399">
        <v>0</v>
      </c>
      <c r="DF55" s="399">
        <v>0</v>
      </c>
      <c r="DG55" s="399">
        <v>0</v>
      </c>
      <c r="DH55" s="399">
        <v>0</v>
      </c>
      <c r="DI55" s="399">
        <v>0</v>
      </c>
      <c r="DJ55" s="399"/>
      <c r="DK55" s="399">
        <v>0</v>
      </c>
      <c r="DL55" s="399">
        <v>0</v>
      </c>
      <c r="DM55" s="399"/>
      <c r="DN55" s="399">
        <v>0</v>
      </c>
      <c r="DO55" s="399">
        <v>0</v>
      </c>
      <c r="DP55" s="399">
        <v>0</v>
      </c>
      <c r="DQ55" s="399">
        <v>0</v>
      </c>
      <c r="DR55" s="399">
        <v>0</v>
      </c>
      <c r="DS55" s="399"/>
      <c r="DT55" s="399"/>
      <c r="DU55" s="399">
        <v>40986.699214218235</v>
      </c>
      <c r="DV55" s="399"/>
      <c r="DW55" s="399">
        <v>0</v>
      </c>
      <c r="DX55" s="399">
        <v>0</v>
      </c>
      <c r="DY55" s="399">
        <v>-21472</v>
      </c>
      <c r="DZ55" s="399"/>
      <c r="EA55" s="399">
        <v>0</v>
      </c>
      <c r="EB55" s="399"/>
      <c r="EC55" s="399">
        <v>-21189.551021962558</v>
      </c>
      <c r="ED55" s="399"/>
      <c r="EE55" s="399">
        <v>0</v>
      </c>
      <c r="EF55" s="399">
        <v>0</v>
      </c>
      <c r="EG55" s="399"/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/>
      <c r="EN55" s="399"/>
      <c r="EO55" s="399">
        <v>0</v>
      </c>
      <c r="EP55" s="399">
        <v>0</v>
      </c>
      <c r="EQ55" s="399"/>
      <c r="ER55" s="399">
        <v>0</v>
      </c>
      <c r="ES55" s="399"/>
      <c r="ET55" s="399">
        <v>0</v>
      </c>
      <c r="EU55" s="399"/>
      <c r="EV55" s="399">
        <v>232</v>
      </c>
      <c r="EW55" s="399"/>
      <c r="EX55" s="399"/>
      <c r="EY55" s="399"/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2328</v>
      </c>
      <c r="D56" s="399" t="s">
        <v>1824</v>
      </c>
      <c r="E56" s="399" t="s">
        <v>918</v>
      </c>
      <c r="F56" s="399" t="s">
        <v>1239</v>
      </c>
      <c r="G56" s="399" t="s">
        <v>1239</v>
      </c>
      <c r="H56" s="399" t="s">
        <v>1239</v>
      </c>
      <c r="I56" s="399" t="s">
        <v>1239</v>
      </c>
      <c r="J56" s="399" t="s">
        <v>2326</v>
      </c>
      <c r="K56" s="788">
        <v>44501</v>
      </c>
      <c r="L56" s="399">
        <v>0</v>
      </c>
      <c r="M56" s="399">
        <v>0</v>
      </c>
      <c r="N56" s="399">
        <v>29.722000000000001</v>
      </c>
      <c r="O56" s="399">
        <v>29.722000000000001</v>
      </c>
      <c r="P56" s="399">
        <v>29.722000000000001</v>
      </c>
      <c r="Q56" s="399">
        <v>29.722000000000001</v>
      </c>
      <c r="R56" s="399"/>
      <c r="S56" s="399">
        <v>395.23</v>
      </c>
      <c r="T56" s="399">
        <v>297.72000000000003</v>
      </c>
      <c r="U56" s="399"/>
      <c r="V56" s="399">
        <v>20595.859900000003</v>
      </c>
      <c r="W56" s="399">
        <v>20595.859900000003</v>
      </c>
      <c r="X56" s="399">
        <v>18253.766299999999</v>
      </c>
      <c r="Y56" s="399">
        <v>0</v>
      </c>
      <c r="Z56" s="399">
        <v>1801.4985197232625</v>
      </c>
      <c r="AA56" s="399">
        <v>0</v>
      </c>
      <c r="AB56" s="399">
        <v>0</v>
      </c>
      <c r="AC56" s="399">
        <v>0</v>
      </c>
      <c r="AD56" s="399">
        <v>2954.2925894115228</v>
      </c>
      <c r="AE56" s="399">
        <v>5948.7039537344581</v>
      </c>
      <c r="AF56" s="399">
        <v>8848.9484770460822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278.52151545793936</v>
      </c>
      <c r="AM56" s="399"/>
      <c r="AN56" s="399">
        <v>26.46408052361987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737.51586882785512</v>
      </c>
      <c r="BH56" s="399">
        <v>0</v>
      </c>
      <c r="BI56" s="399">
        <v>0</v>
      </c>
      <c r="BJ56" s="399">
        <v>0</v>
      </c>
      <c r="BK56" s="399">
        <v>7041.8</v>
      </c>
      <c r="BL56" s="399">
        <v>47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9586.4643458739374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18252.538</v>
      </c>
      <c r="CJ56" s="399">
        <v>-2343.3519000000015</v>
      </c>
      <c r="CK56" s="399"/>
      <c r="CL56" s="399"/>
      <c r="CM56" s="399"/>
      <c r="CN56" s="399"/>
      <c r="CO56" s="399">
        <v>-2721.9407600000013</v>
      </c>
      <c r="CP56" s="399">
        <v>379.84715999999918</v>
      </c>
      <c r="CQ56" s="399">
        <v>30</v>
      </c>
      <c r="CR56" s="399">
        <v>733.06259299163867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-22.767400036520485</v>
      </c>
      <c r="DA56" s="399">
        <v>0</v>
      </c>
      <c r="DB56" s="399">
        <v>0</v>
      </c>
      <c r="DC56" s="399">
        <v>379.71176985236343</v>
      </c>
      <c r="DD56" s="399">
        <v>0</v>
      </c>
      <c r="DE56" s="399">
        <v>0</v>
      </c>
      <c r="DF56" s="399">
        <v>0</v>
      </c>
      <c r="DG56" s="399">
        <v>31.647088529585403</v>
      </c>
      <c r="DH56" s="399">
        <v>0</v>
      </c>
      <c r="DI56" s="399">
        <v>300.75458889107381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40.56195620182325</v>
      </c>
      <c r="DP56" s="399">
        <v>3.1545895533148851</v>
      </c>
      <c r="DQ56" s="399">
        <v>0</v>
      </c>
      <c r="DR56" s="399">
        <v>0</v>
      </c>
      <c r="DS56" s="399"/>
      <c r="DT56" s="399"/>
      <c r="DU56" s="399"/>
      <c r="DV56" s="399">
        <v>5948.7039537344581</v>
      </c>
      <c r="DW56" s="399">
        <v>0</v>
      </c>
      <c r="DX56" s="399">
        <v>0</v>
      </c>
      <c r="DY56" s="399">
        <v>-2721.9407600000031</v>
      </c>
      <c r="DZ56" s="399">
        <v>379.84715999999935</v>
      </c>
      <c r="EA56" s="399">
        <v>0</v>
      </c>
      <c r="EB56" s="399">
        <v>0</v>
      </c>
      <c r="EC56" s="399">
        <v>-3075.3968569999006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232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2328</v>
      </c>
      <c r="D57" s="399" t="s">
        <v>2335</v>
      </c>
      <c r="E57" s="399" t="s">
        <v>894</v>
      </c>
      <c r="F57" s="399" t="s">
        <v>1239</v>
      </c>
      <c r="G57" s="399" t="s">
        <v>1239</v>
      </c>
      <c r="H57" s="399" t="s">
        <v>1239</v>
      </c>
      <c r="I57" s="399" t="s">
        <v>1239</v>
      </c>
      <c r="J57" s="399" t="s">
        <v>2326</v>
      </c>
      <c r="K57" s="788">
        <v>44501</v>
      </c>
      <c r="L57" s="399">
        <v>0</v>
      </c>
      <c r="M57" s="399">
        <v>0</v>
      </c>
      <c r="N57" s="399">
        <v>529.39200000000005</v>
      </c>
      <c r="O57" s="399">
        <v>529.39200000000005</v>
      </c>
      <c r="P57" s="399">
        <v>529.39200000000005</v>
      </c>
      <c r="Q57" s="399">
        <v>529.39200000000005</v>
      </c>
      <c r="R57" s="399"/>
      <c r="S57" s="399">
        <v>395.23</v>
      </c>
      <c r="T57" s="399">
        <v>297.72000000000003</v>
      </c>
      <c r="U57" s="399"/>
      <c r="V57" s="399">
        <v>366842.18640000006</v>
      </c>
      <c r="W57" s="399">
        <v>366842.18640000006</v>
      </c>
      <c r="X57" s="399">
        <v>325126.09680000006</v>
      </c>
      <c r="Y57" s="399">
        <v>0</v>
      </c>
      <c r="Z57" s="399">
        <v>32087.305845950385</v>
      </c>
      <c r="AA57" s="399">
        <v>0</v>
      </c>
      <c r="AB57" s="399">
        <v>0</v>
      </c>
      <c r="AC57" s="399">
        <v>0</v>
      </c>
      <c r="AD57" s="399">
        <v>52620.243001606388</v>
      </c>
      <c r="AE57" s="399">
        <v>105955.05966877707</v>
      </c>
      <c r="AF57" s="399">
        <v>157612.62809233495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4960.8728252240571</v>
      </c>
      <c r="AM57" s="399"/>
      <c r="AN57" s="399">
        <v>471.3637210335836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13136.229083860973</v>
      </c>
      <c r="BH57" s="399">
        <v>0</v>
      </c>
      <c r="BI57" s="399">
        <v>1.38</v>
      </c>
      <c r="BJ57" s="399">
        <v>6.5</v>
      </c>
      <c r="BK57" s="399">
        <v>95845.49</v>
      </c>
      <c r="BL57" s="399">
        <v>950</v>
      </c>
      <c r="BM57" s="399"/>
      <c r="BN57" s="399"/>
      <c r="BO57" s="399"/>
      <c r="BP57" s="399"/>
      <c r="BQ57" s="399"/>
      <c r="BR57" s="399">
        <v>39016.190399999992</v>
      </c>
      <c r="BS57" s="399"/>
      <c r="BT57" s="399"/>
      <c r="BU57" s="399"/>
      <c r="BV57" s="399">
        <v>170748.85717619592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286108.82550000004</v>
      </c>
      <c r="CJ57" s="399">
        <v>-36714.446100000059</v>
      </c>
      <c r="CK57" s="399"/>
      <c r="CL57" s="399"/>
      <c r="CM57" s="399"/>
      <c r="CN57" s="399"/>
      <c r="CO57" s="399">
        <v>-48481.719360000025</v>
      </c>
      <c r="CP57" s="399">
        <v>6765.6297599999862</v>
      </c>
      <c r="CQ57" s="399">
        <v>30</v>
      </c>
      <c r="CR57" s="399">
        <v>13056.909771517065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-405.5204710360631</v>
      </c>
      <c r="DA57" s="399">
        <v>0</v>
      </c>
      <c r="DB57" s="399">
        <v>0</v>
      </c>
      <c r="DC57" s="399">
        <v>6763.2182647763402</v>
      </c>
      <c r="DD57" s="399">
        <v>0</v>
      </c>
      <c r="DE57" s="399">
        <v>0</v>
      </c>
      <c r="DF57" s="399">
        <v>0</v>
      </c>
      <c r="DG57" s="399">
        <v>563.68062347265732</v>
      </c>
      <c r="DH57" s="399">
        <v>0</v>
      </c>
      <c r="DI57" s="399">
        <v>5356.8761631863053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722.46736819849411</v>
      </c>
      <c r="DP57" s="399">
        <v>56.187822919334963</v>
      </c>
      <c r="DQ57" s="399">
        <v>0</v>
      </c>
      <c r="DR57" s="399">
        <v>0</v>
      </c>
      <c r="DS57" s="399"/>
      <c r="DT57" s="399"/>
      <c r="DU57" s="399"/>
      <c r="DV57" s="399">
        <v>105955.05966877707</v>
      </c>
      <c r="DW57" s="399">
        <v>0</v>
      </c>
      <c r="DX57" s="399">
        <v>0</v>
      </c>
      <c r="DY57" s="399">
        <v>-48481.719360000017</v>
      </c>
      <c r="DZ57" s="399">
        <v>6765.6297599999816</v>
      </c>
      <c r="EA57" s="399">
        <v>0</v>
      </c>
      <c r="EB57" s="399">
        <v>0</v>
      </c>
      <c r="EC57" s="399">
        <v>-54777.28594713987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232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2330</v>
      </c>
      <c r="C58" s="399" t="s">
        <v>2328</v>
      </c>
      <c r="D58" s="399" t="s">
        <v>2335</v>
      </c>
      <c r="E58" s="399" t="s">
        <v>894</v>
      </c>
      <c r="F58" s="399" t="s">
        <v>1239</v>
      </c>
      <c r="G58" s="399" t="s">
        <v>1239</v>
      </c>
      <c r="H58" s="399" t="s">
        <v>1239</v>
      </c>
      <c r="I58" s="399" t="s">
        <v>1239</v>
      </c>
      <c r="J58" s="399" t="s">
        <v>2326</v>
      </c>
      <c r="K58" s="788">
        <v>44501</v>
      </c>
      <c r="L58" s="399">
        <v>0</v>
      </c>
      <c r="M58" s="399">
        <v>0</v>
      </c>
      <c r="N58" s="399">
        <v>25.25</v>
      </c>
      <c r="O58" s="399">
        <v>25.25</v>
      </c>
      <c r="P58" s="399">
        <v>25.25</v>
      </c>
      <c r="Q58" s="399">
        <v>25.25</v>
      </c>
      <c r="R58" s="399"/>
      <c r="S58" s="399">
        <v>395.23</v>
      </c>
      <c r="T58" s="399">
        <v>297.72000000000003</v>
      </c>
      <c r="U58" s="399"/>
      <c r="V58" s="399">
        <v>17496.987500000003</v>
      </c>
      <c r="W58" s="399">
        <v>17496.987500000003</v>
      </c>
      <c r="X58" s="399">
        <v>15507.287499999999</v>
      </c>
      <c r="Y58" s="399">
        <v>0</v>
      </c>
      <c r="Z58" s="399">
        <v>1530.4433625937816</v>
      </c>
      <c r="AA58" s="399">
        <v>0</v>
      </c>
      <c r="AB58" s="399">
        <v>0</v>
      </c>
      <c r="AC58" s="399">
        <v>0</v>
      </c>
      <c r="AD58" s="399">
        <v>2509.7869552062766</v>
      </c>
      <c r="AE58" s="399">
        <v>5053.6563768183523</v>
      </c>
      <c r="AF58" s="399">
        <v>7517.5273886485957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236.61490698179691</v>
      </c>
      <c r="AM58" s="399"/>
      <c r="AN58" s="399">
        <v>22.482270144048236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626.54853939517329</v>
      </c>
      <c r="BH58" s="399">
        <v>0</v>
      </c>
      <c r="BI58" s="399">
        <v>0</v>
      </c>
      <c r="BJ58" s="399">
        <v>0</v>
      </c>
      <c r="BK58" s="399">
        <v>12111.07</v>
      </c>
      <c r="BL58" s="399">
        <v>16</v>
      </c>
      <c r="BM58" s="399"/>
      <c r="BN58" s="399"/>
      <c r="BO58" s="399"/>
      <c r="BP58" s="399"/>
      <c r="BQ58" s="399"/>
      <c r="BR58" s="399">
        <v>1860.9249999999997</v>
      </c>
      <c r="BS58" s="399"/>
      <c r="BT58" s="399"/>
      <c r="BU58" s="399"/>
      <c r="BV58" s="399">
        <v>8144.0759280437687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13646.362499999999</v>
      </c>
      <c r="CJ58" s="399">
        <v>-1751.1175000000021</v>
      </c>
      <c r="CK58" s="399"/>
      <c r="CL58" s="399"/>
      <c r="CM58" s="399"/>
      <c r="CN58" s="399"/>
      <c r="CO58" s="399">
        <v>-2312.3950000000009</v>
      </c>
      <c r="CP58" s="399">
        <v>322.69499999999931</v>
      </c>
      <c r="CQ58" s="399">
        <v>30</v>
      </c>
      <c r="CR58" s="399">
        <v>622.76530761856338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-19.341795670619376</v>
      </c>
      <c r="DA58" s="399">
        <v>0</v>
      </c>
      <c r="DB58" s="399">
        <v>0</v>
      </c>
      <c r="DC58" s="399">
        <v>322.57998078097626</v>
      </c>
      <c r="DD58" s="399">
        <v>0</v>
      </c>
      <c r="DE58" s="399">
        <v>0</v>
      </c>
      <c r="DF58" s="399">
        <v>0</v>
      </c>
      <c r="DG58" s="399">
        <v>26.885437903641446</v>
      </c>
      <c r="DH58" s="399">
        <v>0</v>
      </c>
      <c r="DI58" s="399">
        <v>255.50277133098757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34.45896622353942</v>
      </c>
      <c r="DP58" s="399">
        <v>2.6799470500370397</v>
      </c>
      <c r="DQ58" s="399">
        <v>0</v>
      </c>
      <c r="DR58" s="399">
        <v>0</v>
      </c>
      <c r="DS58" s="399"/>
      <c r="DT58" s="399"/>
      <c r="DU58" s="399"/>
      <c r="DV58" s="399">
        <v>5053.6563768183523</v>
      </c>
      <c r="DW58" s="399">
        <v>0</v>
      </c>
      <c r="DX58" s="399">
        <v>0</v>
      </c>
      <c r="DY58" s="399">
        <v>-2312.3950000000013</v>
      </c>
      <c r="DZ58" s="399">
        <v>322.69499999999971</v>
      </c>
      <c r="EA58" s="399">
        <v>0</v>
      </c>
      <c r="EB58" s="399">
        <v>0</v>
      </c>
      <c r="EC58" s="399">
        <v>-2612.6697610943911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232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2328</v>
      </c>
      <c r="D59" s="399" t="s">
        <v>1824</v>
      </c>
      <c r="E59" s="399" t="s">
        <v>2336</v>
      </c>
      <c r="F59" s="399" t="s">
        <v>1239</v>
      </c>
      <c r="G59" s="399" t="s">
        <v>1239</v>
      </c>
      <c r="H59" s="399" t="s">
        <v>1239</v>
      </c>
      <c r="I59" s="399" t="s">
        <v>1239</v>
      </c>
      <c r="J59" s="399" t="s">
        <v>2326</v>
      </c>
      <c r="K59" s="788">
        <v>44501</v>
      </c>
      <c r="L59" s="399">
        <v>0</v>
      </c>
      <c r="M59" s="399">
        <v>0</v>
      </c>
      <c r="N59" s="399">
        <v>0.88600000000000001</v>
      </c>
      <c r="O59" s="399">
        <v>0.88600000000000001</v>
      </c>
      <c r="P59" s="399">
        <v>0.88600000000000001</v>
      </c>
      <c r="Q59" s="399">
        <v>0.88600000000000001</v>
      </c>
      <c r="R59" s="399"/>
      <c r="S59" s="399">
        <v>395.23</v>
      </c>
      <c r="T59" s="399">
        <v>297.72000000000003</v>
      </c>
      <c r="U59" s="399"/>
      <c r="V59" s="399">
        <v>613.95370000000003</v>
      </c>
      <c r="W59" s="399">
        <v>613.95370000000003</v>
      </c>
      <c r="X59" s="399">
        <v>544.13689999999997</v>
      </c>
      <c r="Y59" s="399">
        <v>0</v>
      </c>
      <c r="Z59" s="399">
        <v>53.701893832003577</v>
      </c>
      <c r="AA59" s="399">
        <v>0</v>
      </c>
      <c r="AB59" s="399">
        <v>0</v>
      </c>
      <c r="AC59" s="399">
        <v>0</v>
      </c>
      <c r="AD59" s="399">
        <v>88.066187814366771</v>
      </c>
      <c r="AE59" s="399">
        <v>177.32829900439842</v>
      </c>
      <c r="AF59" s="399">
        <v>263.78333728089723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8.3026062410246357</v>
      </c>
      <c r="AM59" s="399"/>
      <c r="AN59" s="399">
        <v>0.7888828256485837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21.98502993679697</v>
      </c>
      <c r="BH59" s="399">
        <v>0</v>
      </c>
      <c r="BI59" s="399">
        <v>0</v>
      </c>
      <c r="BJ59" s="399">
        <v>0</v>
      </c>
      <c r="BK59" s="399">
        <v>217.53</v>
      </c>
      <c r="BL59" s="399">
        <v>17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285.76836721769422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546.59349999999995</v>
      </c>
      <c r="CJ59" s="399">
        <v>-67.39020000000005</v>
      </c>
      <c r="CK59" s="399"/>
      <c r="CL59" s="399"/>
      <c r="CM59" s="399"/>
      <c r="CN59" s="399"/>
      <c r="CO59" s="399">
        <v>-81.139880000000034</v>
      </c>
      <c r="CP59" s="399">
        <v>11.323079999999976</v>
      </c>
      <c r="CQ59" s="399">
        <v>30</v>
      </c>
      <c r="CR59" s="399">
        <v>21.852279704952309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-0.67868637481855387</v>
      </c>
      <c r="DA59" s="399">
        <v>0</v>
      </c>
      <c r="DB59" s="399">
        <v>0</v>
      </c>
      <c r="DC59" s="399">
        <v>11.319044078096852</v>
      </c>
      <c r="DD59" s="399">
        <v>0</v>
      </c>
      <c r="DE59" s="399">
        <v>0</v>
      </c>
      <c r="DF59" s="399">
        <v>0</v>
      </c>
      <c r="DG59" s="399">
        <v>0.94338605871787706</v>
      </c>
      <c r="DH59" s="399">
        <v>0</v>
      </c>
      <c r="DI59" s="399">
        <v>8.9653645702675249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1.2091344187744912</v>
      </c>
      <c r="DP59" s="399">
        <v>9.4036953914170995E-2</v>
      </c>
      <c r="DQ59" s="399">
        <v>0</v>
      </c>
      <c r="DR59" s="399">
        <v>0</v>
      </c>
      <c r="DS59" s="399"/>
      <c r="DT59" s="399"/>
      <c r="DU59" s="399"/>
      <c r="DV59" s="399">
        <v>177.32829900439842</v>
      </c>
      <c r="DW59" s="399">
        <v>0</v>
      </c>
      <c r="DX59" s="399">
        <v>0</v>
      </c>
      <c r="DY59" s="399">
        <v>-81.139880000000062</v>
      </c>
      <c r="DZ59" s="399">
        <v>11.323080000000004</v>
      </c>
      <c r="EA59" s="399">
        <v>0</v>
      </c>
      <c r="EB59" s="399">
        <v>0</v>
      </c>
      <c r="EC59" s="399">
        <v>-91.676253795232896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232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2328</v>
      </c>
      <c r="D60" s="399" t="s">
        <v>2337</v>
      </c>
      <c r="E60" s="399" t="s">
        <v>2338</v>
      </c>
      <c r="F60" s="399" t="s">
        <v>2339</v>
      </c>
      <c r="G60" s="399" t="s">
        <v>1239</v>
      </c>
      <c r="H60" s="399" t="s">
        <v>1239</v>
      </c>
      <c r="I60" s="399" t="s">
        <v>1239</v>
      </c>
      <c r="J60" s="399" t="s">
        <v>2326</v>
      </c>
      <c r="K60" s="788">
        <v>44501</v>
      </c>
      <c r="L60" s="399">
        <v>0</v>
      </c>
      <c r="M60" s="399">
        <v>0</v>
      </c>
      <c r="N60" s="399">
        <v>20.414000000000001</v>
      </c>
      <c r="O60" s="399">
        <v>20.414000000000001</v>
      </c>
      <c r="P60" s="399">
        <v>20.414000000000001</v>
      </c>
      <c r="Q60" s="399">
        <v>20.414000000000001</v>
      </c>
      <c r="R60" s="399"/>
      <c r="S60" s="399">
        <v>217.38</v>
      </c>
      <c r="T60" s="399">
        <v>163.75</v>
      </c>
      <c r="U60" s="399"/>
      <c r="V60" s="399">
        <v>7780.3878199999999</v>
      </c>
      <c r="W60" s="399">
        <v>7780.3878199999999</v>
      </c>
      <c r="X60" s="399">
        <v>6895.4409200000009</v>
      </c>
      <c r="Y60" s="399">
        <v>0</v>
      </c>
      <c r="Z60" s="399">
        <v>680.5290670175923</v>
      </c>
      <c r="AA60" s="399">
        <v>0</v>
      </c>
      <c r="AB60" s="399">
        <v>0</v>
      </c>
      <c r="AC60" s="399">
        <v>0</v>
      </c>
      <c r="AD60" s="399">
        <v>1116.005346414634</v>
      </c>
      <c r="AE60" s="399">
        <v>2247.1658495842967</v>
      </c>
      <c r="AF60" s="399">
        <v>3342.7541489714768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105.21351251958492</v>
      </c>
      <c r="AM60" s="399"/>
      <c r="AN60" s="399">
        <v>9.9969974057952538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278.60194201058175</v>
      </c>
      <c r="BH60" s="399">
        <v>0</v>
      </c>
      <c r="BI60" s="399">
        <v>0</v>
      </c>
      <c r="BJ60" s="399">
        <v>0</v>
      </c>
      <c r="BK60" s="399">
        <v>3264.74</v>
      </c>
      <c r="BL60" s="399">
        <v>1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3621.3560909820585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6894.0897999999997</v>
      </c>
      <c r="CJ60" s="399">
        <v>-886.32802000000083</v>
      </c>
      <c r="CK60" s="399"/>
      <c r="CL60" s="399"/>
      <c r="CM60" s="399"/>
      <c r="CN60" s="399"/>
      <c r="CO60" s="399">
        <v>-1028.2531800000002</v>
      </c>
      <c r="CP60" s="399">
        <v>143.30628000000021</v>
      </c>
      <c r="CQ60" s="399">
        <v>30</v>
      </c>
      <c r="CR60" s="399">
        <v>276.91968492471733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-8.6005496733068867</v>
      </c>
      <c r="DA60" s="399">
        <v>0</v>
      </c>
      <c r="DB60" s="399">
        <v>0</v>
      </c>
      <c r="DC60" s="399">
        <v>143.43886139464166</v>
      </c>
      <c r="DD60" s="399">
        <v>0</v>
      </c>
      <c r="DE60" s="399">
        <v>0</v>
      </c>
      <c r="DF60" s="399">
        <v>0</v>
      </c>
      <c r="DG60" s="399">
        <v>11.954916085176876</v>
      </c>
      <c r="DH60" s="399">
        <v>0</v>
      </c>
      <c r="DI60" s="399">
        <v>113.61221646229353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15.322571685863196</v>
      </c>
      <c r="DP60" s="399">
        <v>1.1916689700475676</v>
      </c>
      <c r="DQ60" s="399">
        <v>0</v>
      </c>
      <c r="DR60" s="399">
        <v>0</v>
      </c>
      <c r="DS60" s="399"/>
      <c r="DT60" s="399"/>
      <c r="DU60" s="399"/>
      <c r="DV60" s="399">
        <v>2247.1658495842967</v>
      </c>
      <c r="DW60" s="399">
        <v>0</v>
      </c>
      <c r="DX60" s="399">
        <v>0</v>
      </c>
      <c r="DY60" s="399">
        <v>-1028.2531800000002</v>
      </c>
      <c r="DZ60" s="399">
        <v>143.30628000000024</v>
      </c>
      <c r="EA60" s="399">
        <v>0</v>
      </c>
      <c r="EB60" s="399">
        <v>0</v>
      </c>
      <c r="EC60" s="399">
        <v>-1161.7533574906756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232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2328</v>
      </c>
      <c r="D61" s="399" t="s">
        <v>1824</v>
      </c>
      <c r="E61" s="399" t="s">
        <v>921</v>
      </c>
      <c r="F61" s="399" t="s">
        <v>2327</v>
      </c>
      <c r="G61" s="399" t="s">
        <v>1239</v>
      </c>
      <c r="H61" s="399" t="s">
        <v>1239</v>
      </c>
      <c r="I61" s="399" t="s">
        <v>1239</v>
      </c>
      <c r="J61" s="399" t="s">
        <v>2326</v>
      </c>
      <c r="K61" s="788">
        <v>44501</v>
      </c>
      <c r="L61" s="399">
        <v>0</v>
      </c>
      <c r="M61" s="399">
        <v>0</v>
      </c>
      <c r="N61" s="399">
        <v>0.83799999999999997</v>
      </c>
      <c r="O61" s="399">
        <v>0.78771999999999998</v>
      </c>
      <c r="P61" s="399">
        <v>0.83799999999999997</v>
      </c>
      <c r="Q61" s="399">
        <v>0.78771999999999998</v>
      </c>
      <c r="R61" s="399"/>
      <c r="S61" s="399">
        <v>395.23</v>
      </c>
      <c r="T61" s="399">
        <v>297.72000000000003</v>
      </c>
      <c r="U61" s="399"/>
      <c r="V61" s="399">
        <v>580.69209999999998</v>
      </c>
      <c r="W61" s="399">
        <v>580.69209999999998</v>
      </c>
      <c r="X61" s="399">
        <v>514.65769999999998</v>
      </c>
      <c r="Y61" s="399">
        <v>0</v>
      </c>
      <c r="Z61" s="399">
        <v>50.79253615261738</v>
      </c>
      <c r="AA61" s="399">
        <v>0</v>
      </c>
      <c r="AB61" s="399">
        <v>0</v>
      </c>
      <c r="AC61" s="399">
        <v>0</v>
      </c>
      <c r="AD61" s="399">
        <v>83.295107661895429</v>
      </c>
      <c r="AE61" s="399">
        <v>167.72134826826846</v>
      </c>
      <c r="AF61" s="399">
        <v>249.49259214604049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7.8528036455740917</v>
      </c>
      <c r="AM61" s="399"/>
      <c r="AN61" s="399">
        <v>0.74614425270148199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20.793967366857629</v>
      </c>
      <c r="BH61" s="399">
        <v>0</v>
      </c>
      <c r="BI61" s="399">
        <v>0</v>
      </c>
      <c r="BJ61" s="399">
        <v>0</v>
      </c>
      <c r="BK61" s="399">
        <v>205.89</v>
      </c>
      <c r="BL61" s="399">
        <v>2</v>
      </c>
      <c r="BM61" s="399"/>
      <c r="BN61" s="399"/>
      <c r="BO61" s="399"/>
      <c r="BP61" s="399"/>
      <c r="BQ61" s="399">
        <v>30.879461999999993</v>
      </c>
      <c r="BR61" s="399"/>
      <c r="BS61" s="399"/>
      <c r="BT61" s="399"/>
      <c r="BU61" s="399"/>
      <c r="BV61" s="399">
        <v>270.28655951289812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485.17849999999999</v>
      </c>
      <c r="CJ61" s="399">
        <v>-60.702074000000039</v>
      </c>
      <c r="CK61" s="399"/>
      <c r="CL61" s="399"/>
      <c r="CM61" s="399"/>
      <c r="CN61" s="399"/>
      <c r="CO61" s="399">
        <v>-76.744040000000027</v>
      </c>
      <c r="CP61" s="399">
        <v>10.709639999999977</v>
      </c>
      <c r="CQ61" s="399">
        <v>30</v>
      </c>
      <c r="CR61" s="399">
        <v>20.668409021162574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-0.64191781275164317</v>
      </c>
      <c r="DA61" s="399">
        <v>0</v>
      </c>
      <c r="DB61" s="399">
        <v>0</v>
      </c>
      <c r="DC61" s="399">
        <v>10.705822728493416</v>
      </c>
      <c r="DD61" s="399">
        <v>0</v>
      </c>
      <c r="DE61" s="399">
        <v>0</v>
      </c>
      <c r="DF61" s="399">
        <v>0</v>
      </c>
      <c r="DG61" s="399">
        <v>0.89227710745550937</v>
      </c>
      <c r="DH61" s="399">
        <v>0</v>
      </c>
      <c r="DI61" s="399">
        <v>8.4796563316977256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1.1436282651614249</v>
      </c>
      <c r="DP61" s="399">
        <v>8.8942401106179791E-2</v>
      </c>
      <c r="DQ61" s="399">
        <v>0</v>
      </c>
      <c r="DR61" s="399">
        <v>0</v>
      </c>
      <c r="DS61" s="399"/>
      <c r="DT61" s="399"/>
      <c r="DU61" s="399"/>
      <c r="DV61" s="399">
        <v>167.72134826826846</v>
      </c>
      <c r="DW61" s="399">
        <v>0</v>
      </c>
      <c r="DX61" s="399">
        <v>0</v>
      </c>
      <c r="DY61" s="399">
        <v>-76.744040000000041</v>
      </c>
      <c r="DZ61" s="399">
        <v>10.709640000000007</v>
      </c>
      <c r="EA61" s="399">
        <v>0</v>
      </c>
      <c r="EB61" s="399">
        <v>0</v>
      </c>
      <c r="EC61" s="399">
        <v>-86.70959444740987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232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2328</v>
      </c>
      <c r="D62" s="399" t="s">
        <v>2335</v>
      </c>
      <c r="E62" s="399" t="s">
        <v>894</v>
      </c>
      <c r="F62" s="399" t="s">
        <v>2367</v>
      </c>
      <c r="G62" s="399" t="s">
        <v>2368</v>
      </c>
      <c r="H62" s="399" t="s">
        <v>1239</v>
      </c>
      <c r="I62" s="399" t="s">
        <v>1239</v>
      </c>
      <c r="J62" s="399" t="s">
        <v>2326</v>
      </c>
      <c r="K62" s="788">
        <v>44501</v>
      </c>
      <c r="L62" s="399">
        <v>0</v>
      </c>
      <c r="M62" s="399">
        <v>0</v>
      </c>
      <c r="N62" s="399">
        <v>0</v>
      </c>
      <c r="O62" s="399">
        <v>0</v>
      </c>
      <c r="P62" s="399">
        <v>0</v>
      </c>
      <c r="Q62" s="399">
        <v>0</v>
      </c>
      <c r="R62" s="399"/>
      <c r="S62" s="399"/>
      <c r="T62" s="399"/>
      <c r="U62" s="399"/>
      <c r="V62" s="399"/>
      <c r="W62" s="399"/>
      <c r="X62" s="399"/>
      <c r="Y62" s="399"/>
      <c r="Z62" s="399"/>
      <c r="AA62" s="399">
        <v>0</v>
      </c>
      <c r="AB62" s="399"/>
      <c r="AC62" s="399"/>
      <c r="AD62" s="399"/>
      <c r="AE62" s="399"/>
      <c r="AF62" s="399"/>
      <c r="AG62" s="399"/>
      <c r="AH62" s="399"/>
      <c r="AI62" s="399"/>
      <c r="AJ62" s="399"/>
      <c r="AK62" s="399"/>
      <c r="AL62" s="399"/>
      <c r="AM62" s="399"/>
      <c r="AN62" s="399"/>
      <c r="AO62" s="399"/>
      <c r="AP62" s="399"/>
      <c r="AQ62" s="399"/>
      <c r="AR62" s="399"/>
      <c r="AS62" s="399"/>
      <c r="AT62" s="399"/>
      <c r="AU62" s="399"/>
      <c r="AV62" s="399"/>
      <c r="AW62" s="399"/>
      <c r="AX62" s="399"/>
      <c r="AY62" s="399"/>
      <c r="AZ62" s="399">
        <v>0</v>
      </c>
      <c r="BA62" s="399"/>
      <c r="BB62" s="399"/>
      <c r="BC62" s="399"/>
      <c r="BD62" s="399"/>
      <c r="BE62" s="399"/>
      <c r="BF62" s="399"/>
      <c r="BG62" s="399"/>
      <c r="BH62" s="399"/>
      <c r="BI62" s="399">
        <v>0</v>
      </c>
      <c r="BJ62" s="399">
        <v>0</v>
      </c>
      <c r="BK62" s="399">
        <v>10.039999999999999</v>
      </c>
      <c r="BL62" s="399">
        <v>1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/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/>
      <c r="CJ62" s="399">
        <v>-0.03</v>
      </c>
      <c r="CK62" s="399"/>
      <c r="CL62" s="399"/>
      <c r="CM62" s="399"/>
      <c r="CN62" s="399"/>
      <c r="CO62" s="399">
        <v>0</v>
      </c>
      <c r="CP62" s="399">
        <v>0</v>
      </c>
      <c r="CQ62" s="399">
        <v>30</v>
      </c>
      <c r="CR62" s="399"/>
      <c r="CS62" s="399"/>
      <c r="CT62" s="399"/>
      <c r="CU62" s="399"/>
      <c r="CV62" s="399"/>
      <c r="CW62" s="399"/>
      <c r="CX62" s="399"/>
      <c r="CY62" s="399"/>
      <c r="CZ62" s="399"/>
      <c r="DA62" s="399"/>
      <c r="DB62" s="399"/>
      <c r="DC62" s="399"/>
      <c r="DD62" s="399"/>
      <c r="DE62" s="399"/>
      <c r="DF62" s="399"/>
      <c r="DG62" s="399"/>
      <c r="DH62" s="399"/>
      <c r="DI62" s="399"/>
      <c r="DJ62" s="399"/>
      <c r="DK62" s="399">
        <v>0</v>
      </c>
      <c r="DL62" s="399"/>
      <c r="DM62" s="399"/>
      <c r="DN62" s="399"/>
      <c r="DO62" s="399"/>
      <c r="DP62" s="399"/>
      <c r="DQ62" s="399"/>
      <c r="DR62" s="399"/>
      <c r="DS62" s="399"/>
      <c r="DT62" s="399"/>
      <c r="DU62" s="399"/>
      <c r="DV62" s="399"/>
      <c r="DW62" s="399"/>
      <c r="DX62" s="399"/>
      <c r="DY62" s="399"/>
      <c r="DZ62" s="399"/>
      <c r="EA62" s="399"/>
      <c r="EB62" s="399"/>
      <c r="EC62" s="399"/>
      <c r="ED62" s="399"/>
      <c r="EE62" s="399"/>
      <c r="EF62" s="399"/>
      <c r="EG62" s="399"/>
      <c r="EH62" s="399"/>
      <c r="EI62" s="399"/>
      <c r="EJ62" s="399"/>
      <c r="EK62" s="399"/>
      <c r="EL62" s="399"/>
      <c r="EM62" s="399"/>
      <c r="EN62" s="399"/>
      <c r="EO62" s="399"/>
      <c r="EP62" s="399"/>
      <c r="EQ62" s="399"/>
      <c r="ER62" s="399"/>
      <c r="ES62" s="399"/>
      <c r="ET62" s="399"/>
      <c r="EU62" s="399"/>
      <c r="EV62" s="399">
        <v>232</v>
      </c>
      <c r="EW62" s="399"/>
      <c r="EX62" s="399"/>
      <c r="EY62" s="399"/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2328</v>
      </c>
      <c r="D63" s="399" t="s">
        <v>2335</v>
      </c>
      <c r="E63" s="399" t="s">
        <v>894</v>
      </c>
      <c r="F63" s="399" t="s">
        <v>2367</v>
      </c>
      <c r="G63" s="399" t="s">
        <v>2368</v>
      </c>
      <c r="H63" s="399" t="s">
        <v>1239</v>
      </c>
      <c r="I63" s="399" t="s">
        <v>1239</v>
      </c>
      <c r="J63" s="399" t="s">
        <v>2326</v>
      </c>
      <c r="K63" s="788">
        <v>44501</v>
      </c>
      <c r="L63" s="399">
        <v>0</v>
      </c>
      <c r="M63" s="399">
        <v>0</v>
      </c>
      <c r="N63" s="399">
        <v>8.5000000000000006E-2</v>
      </c>
      <c r="O63" s="399">
        <v>8.5000000000000006E-2</v>
      </c>
      <c r="P63" s="399">
        <v>8.5000000000000006E-2</v>
      </c>
      <c r="Q63" s="399">
        <v>8.5000000000000006E-2</v>
      </c>
      <c r="R63" s="399"/>
      <c r="S63" s="399">
        <v>395.23</v>
      </c>
      <c r="T63" s="399">
        <v>297.72000000000003</v>
      </c>
      <c r="U63" s="399"/>
      <c r="V63" s="399">
        <v>58.900750000000009</v>
      </c>
      <c r="W63" s="399">
        <v>58.900750000000009</v>
      </c>
      <c r="X63" s="399">
        <v>52.202750000000002</v>
      </c>
      <c r="Y63" s="399">
        <v>0</v>
      </c>
      <c r="Z63" s="399">
        <v>5.1519875572463931</v>
      </c>
      <c r="AA63" s="399">
        <v>0</v>
      </c>
      <c r="AB63" s="399">
        <v>0</v>
      </c>
      <c r="AC63" s="399">
        <v>0</v>
      </c>
      <c r="AD63" s="399">
        <v>8.4487877700013279</v>
      </c>
      <c r="AE63" s="399">
        <v>17.012308595230099</v>
      </c>
      <c r="AF63" s="399">
        <v>25.30652784297547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0.79652542944367288</v>
      </c>
      <c r="AM63" s="399"/>
      <c r="AN63" s="399">
        <v>7.5682889593825756E-2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2.1091733009342466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>
        <v>7.2972499999999973</v>
      </c>
      <c r="BS63" s="399"/>
      <c r="BT63" s="399"/>
      <c r="BU63" s="399"/>
      <c r="BV63" s="399">
        <v>27.415701143909715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47.546999999999997</v>
      </c>
      <c r="CJ63" s="399">
        <v>-2.9721500000000063</v>
      </c>
      <c r="CK63" s="399"/>
      <c r="CL63" s="399"/>
      <c r="CM63" s="399"/>
      <c r="CN63" s="399"/>
      <c r="CO63" s="399">
        <v>-7.7843000000000044</v>
      </c>
      <c r="CP63" s="399">
        <v>1.0862999999999978</v>
      </c>
      <c r="CQ63" s="399">
        <v>30</v>
      </c>
      <c r="CR63" s="399">
        <v>2.0964376692109994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-6.5110995326836729E-2</v>
      </c>
      <c r="DA63" s="399">
        <v>0</v>
      </c>
      <c r="DB63" s="399">
        <v>0</v>
      </c>
      <c r="DC63" s="399">
        <v>1.0859128065894268</v>
      </c>
      <c r="DD63" s="399">
        <v>0</v>
      </c>
      <c r="DE63" s="399">
        <v>0</v>
      </c>
      <c r="DF63" s="399">
        <v>0</v>
      </c>
      <c r="DG63" s="399">
        <v>9.0505434527110129E-2</v>
      </c>
      <c r="DH63" s="399">
        <v>0</v>
      </c>
      <c r="DI63" s="399">
        <v>0.86010833913401807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0.11600048035646915</v>
      </c>
      <c r="DP63" s="399">
        <v>9.0216039308177592E-3</v>
      </c>
      <c r="DQ63" s="399">
        <v>0</v>
      </c>
      <c r="DR63" s="399">
        <v>0</v>
      </c>
      <c r="DS63" s="399"/>
      <c r="DT63" s="399"/>
      <c r="DU63" s="399"/>
      <c r="DV63" s="399">
        <v>17.012308595230099</v>
      </c>
      <c r="DW63" s="399">
        <v>0</v>
      </c>
      <c r="DX63" s="399">
        <v>0</v>
      </c>
      <c r="DY63" s="399">
        <v>-7.7843000000000053</v>
      </c>
      <c r="DZ63" s="399">
        <v>1.0862999999999978</v>
      </c>
      <c r="EA63" s="399">
        <v>0</v>
      </c>
      <c r="EB63" s="399">
        <v>0</v>
      </c>
      <c r="EC63" s="399">
        <v>-8.7951259284365655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232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2328</v>
      </c>
      <c r="D64" s="399" t="s">
        <v>2335</v>
      </c>
      <c r="E64" s="399" t="s">
        <v>894</v>
      </c>
      <c r="F64" s="399" t="s">
        <v>2367</v>
      </c>
      <c r="G64" s="399" t="s">
        <v>2369</v>
      </c>
      <c r="H64" s="399" t="s">
        <v>1239</v>
      </c>
      <c r="I64" s="399" t="s">
        <v>1239</v>
      </c>
      <c r="J64" s="399" t="s">
        <v>2326</v>
      </c>
      <c r="K64" s="788">
        <v>44501</v>
      </c>
      <c r="L64" s="399">
        <v>0</v>
      </c>
      <c r="M64" s="399">
        <v>0</v>
      </c>
      <c r="N64" s="399">
        <v>1.4999999999999999E-2</v>
      </c>
      <c r="O64" s="399">
        <v>6.0000000000000001E-3</v>
      </c>
      <c r="P64" s="399">
        <v>1.4999999999999999E-2</v>
      </c>
      <c r="Q64" s="399">
        <v>6.0000000000000001E-3</v>
      </c>
      <c r="R64" s="399"/>
      <c r="S64" s="399">
        <v>395.23</v>
      </c>
      <c r="T64" s="399">
        <v>297.72000000000003</v>
      </c>
      <c r="U64" s="399"/>
      <c r="V64" s="399">
        <v>10.39425</v>
      </c>
      <c r="W64" s="399">
        <v>10.39425</v>
      </c>
      <c r="X64" s="399">
        <v>9.2122499999999992</v>
      </c>
      <c r="Y64" s="399">
        <v>0</v>
      </c>
      <c r="Z64" s="399">
        <v>0.90917427480818702</v>
      </c>
      <c r="AA64" s="399">
        <v>0</v>
      </c>
      <c r="AB64" s="399">
        <v>0</v>
      </c>
      <c r="AC64" s="399">
        <v>0</v>
      </c>
      <c r="AD64" s="399">
        <v>1.490962547647293</v>
      </c>
      <c r="AE64" s="399">
        <v>3.0021721050406049</v>
      </c>
      <c r="AF64" s="399">
        <v>4.4658578546427297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0.1405633110782952</v>
      </c>
      <c r="AM64" s="399"/>
      <c r="AN64" s="399">
        <v>1.335580404596925E-2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0.37220705310604352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>
        <v>6.0424499999999988</v>
      </c>
      <c r="BT64" s="399"/>
      <c r="BU64" s="399"/>
      <c r="BV64" s="399">
        <v>4.8380649077487732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5.2830000000000004</v>
      </c>
      <c r="CJ64" s="399">
        <v>1.6890600000000009</v>
      </c>
      <c r="CK64" s="399"/>
      <c r="CL64" s="399"/>
      <c r="CM64" s="399"/>
      <c r="CN64" s="399"/>
      <c r="CO64" s="399">
        <v>-1.3737000000000006</v>
      </c>
      <c r="CP64" s="399">
        <v>0.19169999999999959</v>
      </c>
      <c r="CQ64" s="399">
        <v>30</v>
      </c>
      <c r="CR64" s="399">
        <v>0.36995958868429568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-1.1490175645912482E-2</v>
      </c>
      <c r="DA64" s="399">
        <v>0</v>
      </c>
      <c r="DB64" s="399">
        <v>0</v>
      </c>
      <c r="DC64" s="399">
        <v>0.19163167175107532</v>
      </c>
      <c r="DD64" s="399">
        <v>0</v>
      </c>
      <c r="DE64" s="399">
        <v>0</v>
      </c>
      <c r="DF64" s="399">
        <v>0</v>
      </c>
      <c r="DG64" s="399">
        <v>1.5971547269489961E-2</v>
      </c>
      <c r="DH64" s="399">
        <v>0</v>
      </c>
      <c r="DI64" s="399">
        <v>0.15178382455306183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2.0470673004082784E-2</v>
      </c>
      <c r="DP64" s="399">
        <v>1.5920477524972495E-3</v>
      </c>
      <c r="DQ64" s="399">
        <v>0</v>
      </c>
      <c r="DR64" s="399">
        <v>0</v>
      </c>
      <c r="DS64" s="399"/>
      <c r="DT64" s="399"/>
      <c r="DU64" s="399"/>
      <c r="DV64" s="399">
        <v>3.0021721050406049</v>
      </c>
      <c r="DW64" s="399">
        <v>0</v>
      </c>
      <c r="DX64" s="399">
        <v>0</v>
      </c>
      <c r="DY64" s="399">
        <v>-1.3737000000000004</v>
      </c>
      <c r="DZ64" s="399">
        <v>0.19169999999999909</v>
      </c>
      <c r="EA64" s="399">
        <v>0</v>
      </c>
      <c r="EB64" s="399">
        <v>0</v>
      </c>
      <c r="EC64" s="399">
        <v>-1.5520810461946875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232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2328</v>
      </c>
      <c r="D65" s="399" t="s">
        <v>1821</v>
      </c>
      <c r="E65" s="399" t="s">
        <v>889</v>
      </c>
      <c r="F65" s="399" t="s">
        <v>889</v>
      </c>
      <c r="G65" s="399" t="s">
        <v>1239</v>
      </c>
      <c r="H65" s="399" t="s">
        <v>1239</v>
      </c>
      <c r="I65" s="399" t="s">
        <v>1239</v>
      </c>
      <c r="J65" s="399" t="s">
        <v>2326</v>
      </c>
      <c r="K65" s="788">
        <v>44531</v>
      </c>
      <c r="L65" s="399">
        <v>0</v>
      </c>
      <c r="M65" s="399">
        <v>0</v>
      </c>
      <c r="N65" s="399">
        <v>33</v>
      </c>
      <c r="O65" s="399">
        <v>33</v>
      </c>
      <c r="P65" s="399">
        <v>33</v>
      </c>
      <c r="Q65" s="399">
        <v>33</v>
      </c>
      <c r="R65" s="399"/>
      <c r="S65" s="399">
        <v>395.23</v>
      </c>
      <c r="T65" s="399">
        <v>297.72000000000003</v>
      </c>
      <c r="U65" s="399"/>
      <c r="V65" s="399">
        <v>22867.35</v>
      </c>
      <c r="W65" s="399">
        <v>22867.35</v>
      </c>
      <c r="X65" s="399">
        <v>20266.949999999997</v>
      </c>
      <c r="Y65" s="399">
        <v>0</v>
      </c>
      <c r="Z65" s="399">
        <v>2000.1834045780115</v>
      </c>
      <c r="AA65" s="399">
        <v>0</v>
      </c>
      <c r="AB65" s="399">
        <v>0</v>
      </c>
      <c r="AC65" s="399">
        <v>0</v>
      </c>
      <c r="AD65" s="399">
        <v>3280.1176048240445</v>
      </c>
      <c r="AE65" s="399">
        <v>6604.7786310893316</v>
      </c>
      <c r="AF65" s="399">
        <v>9824.8872802140049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309.23928437224941</v>
      </c>
      <c r="AM65" s="399"/>
      <c r="AN65" s="399">
        <v>29.382768901132348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818.85551683329572</v>
      </c>
      <c r="BH65" s="399">
        <v>0</v>
      </c>
      <c r="BI65" s="399">
        <v>0</v>
      </c>
      <c r="BJ65" s="399">
        <v>0</v>
      </c>
      <c r="BK65" s="399">
        <v>4463.08</v>
      </c>
      <c r="BL65" s="399">
        <v>262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10643.7427970473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20266.949999999997</v>
      </c>
      <c r="CJ65" s="399">
        <v>-2600.4300000000039</v>
      </c>
      <c r="CK65" s="399"/>
      <c r="CL65" s="399"/>
      <c r="CM65" s="399"/>
      <c r="CN65" s="399"/>
      <c r="CO65" s="399">
        <v>-3022.1400000000012</v>
      </c>
      <c r="CP65" s="399">
        <v>421.7399999999991</v>
      </c>
      <c r="CQ65" s="399"/>
      <c r="CR65" s="399">
        <v>813.91109510544811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-25.278386421007326</v>
      </c>
      <c r="DA65" s="399">
        <v>0</v>
      </c>
      <c r="DB65" s="399">
        <v>0</v>
      </c>
      <c r="DC65" s="399">
        <v>421.58967785236564</v>
      </c>
      <c r="DD65" s="399">
        <v>0</v>
      </c>
      <c r="DE65" s="399">
        <v>0</v>
      </c>
      <c r="DF65" s="399">
        <v>0</v>
      </c>
      <c r="DG65" s="399">
        <v>35.137403992878035</v>
      </c>
      <c r="DH65" s="399">
        <v>0</v>
      </c>
      <c r="DI65" s="399">
        <v>333.92441401673614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45.035480608982198</v>
      </c>
      <c r="DP65" s="399">
        <v>3.5025050554939519</v>
      </c>
      <c r="DQ65" s="399">
        <v>0</v>
      </c>
      <c r="DR65" s="399">
        <v>0</v>
      </c>
      <c r="DS65" s="399"/>
      <c r="DT65" s="399"/>
      <c r="DU65" s="399"/>
      <c r="DV65" s="399">
        <v>6604.7786310893316</v>
      </c>
      <c r="DW65" s="399">
        <v>0</v>
      </c>
      <c r="DX65" s="399">
        <v>0</v>
      </c>
      <c r="DY65" s="399">
        <v>-3022.1400000000012</v>
      </c>
      <c r="DZ65" s="399">
        <v>421.73999999999978</v>
      </c>
      <c r="EA65" s="399">
        <v>0</v>
      </c>
      <c r="EB65" s="399">
        <v>0</v>
      </c>
      <c r="EC65" s="399">
        <v>-3414.5783016283131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232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956</v>
      </c>
      <c r="C66" s="399" t="s">
        <v>2328</v>
      </c>
      <c r="D66" s="399" t="s">
        <v>1821</v>
      </c>
      <c r="E66" s="399" t="s">
        <v>889</v>
      </c>
      <c r="F66" s="399" t="s">
        <v>2331</v>
      </c>
      <c r="G66" s="399" t="s">
        <v>1239</v>
      </c>
      <c r="H66" s="399" t="s">
        <v>1239</v>
      </c>
      <c r="I66" s="399" t="s">
        <v>1239</v>
      </c>
      <c r="J66" s="399" t="s">
        <v>2326</v>
      </c>
      <c r="K66" s="788">
        <v>44531</v>
      </c>
      <c r="L66" s="399">
        <v>0</v>
      </c>
      <c r="M66" s="399">
        <v>0</v>
      </c>
      <c r="N66" s="399">
        <v>0.09</v>
      </c>
      <c r="O66" s="399">
        <v>0.09</v>
      </c>
      <c r="P66" s="399">
        <v>0.09</v>
      </c>
      <c r="Q66" s="399">
        <v>0.09</v>
      </c>
      <c r="R66" s="399"/>
      <c r="S66" s="399">
        <v>325.25</v>
      </c>
      <c r="T66" s="399">
        <v>297.72000000000003</v>
      </c>
      <c r="U66" s="399"/>
      <c r="V66" s="399">
        <v>56.067300000000003</v>
      </c>
      <c r="W66" s="399">
        <v>56.067300000000003</v>
      </c>
      <c r="X66" s="399">
        <v>47.941199999999995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8.9457752858837569</v>
      </c>
      <c r="AE66" s="399">
        <v>18.013032630243629</v>
      </c>
      <c r="AF66" s="399">
        <v>26.795147127856378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8.0134824275815489E-2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2.2332423186362611</v>
      </c>
      <c r="BH66" s="399">
        <v>0</v>
      </c>
      <c r="BI66" s="399">
        <v>0</v>
      </c>
      <c r="BJ66" s="399">
        <v>0</v>
      </c>
      <c r="BK66" s="399">
        <v>2.19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>
        <v>31.162499999999998</v>
      </c>
      <c r="BU66" s="399"/>
      <c r="BV66" s="399">
        <v>29.028389446492639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16.778700000000001</v>
      </c>
      <c r="CJ66" s="399">
        <v>-2.8749000000000002</v>
      </c>
      <c r="CK66" s="399"/>
      <c r="CL66" s="399"/>
      <c r="CM66" s="399"/>
      <c r="CN66" s="399"/>
      <c r="CO66" s="399">
        <v>-9.2762999999999991</v>
      </c>
      <c r="CP66" s="399">
        <v>1.1501999999999974</v>
      </c>
      <c r="CQ66" s="399"/>
      <c r="CR66" s="399">
        <v>1.1862305467629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-6.8941053875473557E-2</v>
      </c>
      <c r="DA66" s="399">
        <v>0</v>
      </c>
      <c r="DB66" s="399">
        <v>0</v>
      </c>
      <c r="DC66" s="399">
        <v>1.1497900305064519</v>
      </c>
      <c r="DD66" s="399">
        <v>0</v>
      </c>
      <c r="DE66" s="399">
        <v>0</v>
      </c>
      <c r="DF66" s="399">
        <v>0</v>
      </c>
      <c r="DG66" s="399">
        <v>9.5829283616939875E-2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0</v>
      </c>
      <c r="DP66" s="399">
        <v>9.5522865149835073E-3</v>
      </c>
      <c r="DQ66" s="399">
        <v>0</v>
      </c>
      <c r="DR66" s="399">
        <v>0</v>
      </c>
      <c r="DS66" s="399"/>
      <c r="DT66" s="399"/>
      <c r="DU66" s="399"/>
      <c r="DV66" s="399">
        <v>18.013032630243629</v>
      </c>
      <c r="DW66" s="399">
        <v>0</v>
      </c>
      <c r="DX66" s="399">
        <v>0</v>
      </c>
      <c r="DY66" s="399">
        <v>-9.2762999999999991</v>
      </c>
      <c r="DZ66" s="399">
        <v>1.1501999999999981</v>
      </c>
      <c r="EA66" s="399">
        <v>0</v>
      </c>
      <c r="EB66" s="399">
        <v>0</v>
      </c>
      <c r="EC66" s="399">
        <v>-9.3124862771681247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232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2328</v>
      </c>
      <c r="D67" s="399" t="s">
        <v>1821</v>
      </c>
      <c r="E67" s="399" t="s">
        <v>889</v>
      </c>
      <c r="F67" s="399" t="s">
        <v>2332</v>
      </c>
      <c r="G67" s="399" t="s">
        <v>1239</v>
      </c>
      <c r="H67" s="399" t="s">
        <v>1239</v>
      </c>
      <c r="I67" s="399" t="s">
        <v>1239</v>
      </c>
      <c r="J67" s="399" t="s">
        <v>2326</v>
      </c>
      <c r="K67" s="788">
        <v>44531</v>
      </c>
      <c r="L67" s="399">
        <v>0</v>
      </c>
      <c r="M67" s="399">
        <v>0</v>
      </c>
      <c r="N67" s="399">
        <v>0.21</v>
      </c>
      <c r="O67" s="399">
        <v>0.21</v>
      </c>
      <c r="P67" s="399">
        <v>0.21</v>
      </c>
      <c r="Q67" s="399">
        <v>0.21</v>
      </c>
      <c r="R67" s="399"/>
      <c r="S67" s="399">
        <v>325.25</v>
      </c>
      <c r="T67" s="399">
        <v>297.72000000000003</v>
      </c>
      <c r="U67" s="399"/>
      <c r="V67" s="399">
        <v>130.8237</v>
      </c>
      <c r="W67" s="399">
        <v>130.8237</v>
      </c>
      <c r="X67" s="399">
        <v>111.86279999999999</v>
      </c>
      <c r="Y67" s="399">
        <v>0</v>
      </c>
      <c r="Z67" s="399">
        <v>0</v>
      </c>
      <c r="AA67" s="399">
        <v>0</v>
      </c>
      <c r="AB67" s="399">
        <v>0</v>
      </c>
      <c r="AC67" s="399">
        <v>0</v>
      </c>
      <c r="AD67" s="399">
        <v>20.873475667062099</v>
      </c>
      <c r="AE67" s="399">
        <v>42.030409470568472</v>
      </c>
      <c r="AF67" s="399">
        <v>62.522009964998219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0</v>
      </c>
      <c r="AM67" s="399"/>
      <c r="AN67" s="399">
        <v>0.18698125664356949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5.2108987434846092</v>
      </c>
      <c r="BH67" s="399">
        <v>0</v>
      </c>
      <c r="BI67" s="399">
        <v>0</v>
      </c>
      <c r="BJ67" s="399">
        <v>0</v>
      </c>
      <c r="BK67" s="399">
        <v>8.8800000000000008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>
        <v>44.744699999999995</v>
      </c>
      <c r="BU67" s="399"/>
      <c r="BV67" s="399">
        <v>67.732908708482825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67.118099999999998</v>
      </c>
      <c r="CJ67" s="399">
        <v>-11.405699999999996</v>
      </c>
      <c r="CK67" s="399"/>
      <c r="CL67" s="399"/>
      <c r="CM67" s="399"/>
      <c r="CN67" s="399"/>
      <c r="CO67" s="399">
        <v>-21.644699999999997</v>
      </c>
      <c r="CP67" s="399">
        <v>2.683799999999994</v>
      </c>
      <c r="CQ67" s="399"/>
      <c r="CR67" s="399">
        <v>2.7678712757801094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-0.16086245904277163</v>
      </c>
      <c r="DA67" s="399">
        <v>0</v>
      </c>
      <c r="DB67" s="399">
        <v>0</v>
      </c>
      <c r="DC67" s="399">
        <v>2.6828434045150544</v>
      </c>
      <c r="DD67" s="399">
        <v>0</v>
      </c>
      <c r="DE67" s="399">
        <v>0</v>
      </c>
      <c r="DF67" s="399">
        <v>0</v>
      </c>
      <c r="DG67" s="399">
        <v>0.22360166177286001</v>
      </c>
      <c r="DH67" s="399">
        <v>0</v>
      </c>
      <c r="DI67" s="399">
        <v>0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0</v>
      </c>
      <c r="DP67" s="399">
        <v>2.2288668534961503E-2</v>
      </c>
      <c r="DQ67" s="399">
        <v>0</v>
      </c>
      <c r="DR67" s="399">
        <v>0</v>
      </c>
      <c r="DS67" s="399"/>
      <c r="DT67" s="399"/>
      <c r="DU67" s="399"/>
      <c r="DV67" s="399">
        <v>42.030409470568472</v>
      </c>
      <c r="DW67" s="399">
        <v>0</v>
      </c>
      <c r="DX67" s="399">
        <v>0</v>
      </c>
      <c r="DY67" s="399">
        <v>-21.644699999999993</v>
      </c>
      <c r="DZ67" s="399">
        <v>2.683799999999998</v>
      </c>
      <c r="EA67" s="399">
        <v>0</v>
      </c>
      <c r="EB67" s="399">
        <v>0</v>
      </c>
      <c r="EC67" s="399">
        <v>-21.72913464672563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232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2328</v>
      </c>
      <c r="D68" s="399" t="s">
        <v>1821</v>
      </c>
      <c r="E68" s="399" t="s">
        <v>889</v>
      </c>
      <c r="F68" s="399" t="s">
        <v>2333</v>
      </c>
      <c r="G68" s="399" t="s">
        <v>1239</v>
      </c>
      <c r="H68" s="399" t="s">
        <v>1239</v>
      </c>
      <c r="I68" s="399" t="s">
        <v>1239</v>
      </c>
      <c r="J68" s="399" t="s">
        <v>2326</v>
      </c>
      <c r="K68" s="788">
        <v>44531</v>
      </c>
      <c r="L68" s="399">
        <v>0</v>
      </c>
      <c r="M68" s="399">
        <v>0</v>
      </c>
      <c r="N68" s="399">
        <v>0.215</v>
      </c>
      <c r="O68" s="399">
        <v>0.215</v>
      </c>
      <c r="P68" s="399">
        <v>0.215</v>
      </c>
      <c r="Q68" s="399">
        <v>0.215</v>
      </c>
      <c r="R68" s="399"/>
      <c r="S68" s="399">
        <v>325.25</v>
      </c>
      <c r="T68" s="399">
        <v>297.72000000000003</v>
      </c>
      <c r="U68" s="399"/>
      <c r="V68" s="399">
        <v>133.93854999999999</v>
      </c>
      <c r="W68" s="399">
        <v>133.93854999999999</v>
      </c>
      <c r="X68" s="399">
        <v>114.52619999999999</v>
      </c>
      <c r="Y68" s="399">
        <v>0</v>
      </c>
      <c r="Z68" s="399">
        <v>0</v>
      </c>
      <c r="AA68" s="399">
        <v>0</v>
      </c>
      <c r="AB68" s="399">
        <v>0</v>
      </c>
      <c r="AC68" s="399">
        <v>0</v>
      </c>
      <c r="AD68" s="399">
        <v>21.370463182944533</v>
      </c>
      <c r="AE68" s="399">
        <v>43.031133505582005</v>
      </c>
      <c r="AF68" s="399">
        <v>64.01062924987913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0</v>
      </c>
      <c r="AM68" s="399"/>
      <c r="AN68" s="399">
        <v>0.19143319132555925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5.3349677611866237</v>
      </c>
      <c r="BH68" s="399">
        <v>0</v>
      </c>
      <c r="BI68" s="399">
        <v>0</v>
      </c>
      <c r="BJ68" s="399">
        <v>0</v>
      </c>
      <c r="BK68" s="399">
        <v>20.66</v>
      </c>
      <c r="BL68" s="399">
        <v>2</v>
      </c>
      <c r="BM68" s="399"/>
      <c r="BN68" s="399"/>
      <c r="BO68" s="399"/>
      <c r="BP68" s="399"/>
      <c r="BQ68" s="399"/>
      <c r="BR68" s="399"/>
      <c r="BS68" s="399"/>
      <c r="BT68" s="399">
        <v>11.453050000000001</v>
      </c>
      <c r="BU68" s="399"/>
      <c r="BV68" s="399">
        <v>69.345597011065749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105.47020000000001</v>
      </c>
      <c r="CJ68" s="399">
        <v>-15.103849999999994</v>
      </c>
      <c r="CK68" s="399"/>
      <c r="CL68" s="399"/>
      <c r="CM68" s="399"/>
      <c r="CN68" s="399"/>
      <c r="CO68" s="399">
        <v>-22.160049999999998</v>
      </c>
      <c r="CP68" s="399">
        <v>2.7476999999999943</v>
      </c>
      <c r="CQ68" s="399"/>
      <c r="CR68" s="399">
        <v>2.8337729728224872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-0.16469251759141201</v>
      </c>
      <c r="DA68" s="399">
        <v>0</v>
      </c>
      <c r="DB68" s="399">
        <v>0</v>
      </c>
      <c r="DC68" s="399">
        <v>2.7467206284320724</v>
      </c>
      <c r="DD68" s="399">
        <v>0</v>
      </c>
      <c r="DE68" s="399">
        <v>0</v>
      </c>
      <c r="DF68" s="399">
        <v>0</v>
      </c>
      <c r="DG68" s="399">
        <v>0.22892551086268931</v>
      </c>
      <c r="DH68" s="399">
        <v>0</v>
      </c>
      <c r="DI68" s="399">
        <v>0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0</v>
      </c>
      <c r="DP68" s="399">
        <v>2.2819351119127251E-2</v>
      </c>
      <c r="DQ68" s="399">
        <v>0</v>
      </c>
      <c r="DR68" s="399">
        <v>0</v>
      </c>
      <c r="DS68" s="399"/>
      <c r="DT68" s="399"/>
      <c r="DU68" s="399"/>
      <c r="DV68" s="399">
        <v>43.031133505582005</v>
      </c>
      <c r="DW68" s="399">
        <v>0</v>
      </c>
      <c r="DX68" s="399">
        <v>0</v>
      </c>
      <c r="DY68" s="399">
        <v>-22.160049999999991</v>
      </c>
      <c r="DZ68" s="399">
        <v>2.7476999999999947</v>
      </c>
      <c r="EA68" s="399">
        <v>0</v>
      </c>
      <c r="EB68" s="399">
        <v>0</v>
      </c>
      <c r="EC68" s="399">
        <v>-22.246494995457187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232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2328</v>
      </c>
      <c r="D69" s="399" t="s">
        <v>1821</v>
      </c>
      <c r="E69" s="399" t="s">
        <v>889</v>
      </c>
      <c r="F69" s="399" t="s">
        <v>2334</v>
      </c>
      <c r="G69" s="399" t="s">
        <v>1239</v>
      </c>
      <c r="H69" s="399" t="s">
        <v>1239</v>
      </c>
      <c r="I69" s="399" t="s">
        <v>1239</v>
      </c>
      <c r="J69" s="399" t="s">
        <v>2326</v>
      </c>
      <c r="K69" s="788">
        <v>44531</v>
      </c>
      <c r="L69" s="399">
        <v>0</v>
      </c>
      <c r="M69" s="399">
        <v>0</v>
      </c>
      <c r="N69" s="399">
        <v>1.2999999999999999E-2</v>
      </c>
      <c r="O69" s="399">
        <v>1.2999999999999999E-2</v>
      </c>
      <c r="P69" s="399">
        <v>1.2999999999999999E-2</v>
      </c>
      <c r="Q69" s="399">
        <v>1.2999999999999999E-2</v>
      </c>
      <c r="R69" s="399"/>
      <c r="S69" s="399">
        <v>325.25</v>
      </c>
      <c r="T69" s="399">
        <v>297.72000000000003</v>
      </c>
      <c r="U69" s="399"/>
      <c r="V69" s="399">
        <v>8.0986100000000008</v>
      </c>
      <c r="W69" s="399">
        <v>8.0986100000000008</v>
      </c>
      <c r="X69" s="399">
        <v>6.9248399999999997</v>
      </c>
      <c r="Y69" s="399">
        <v>0</v>
      </c>
      <c r="Z69" s="399">
        <v>0</v>
      </c>
      <c r="AA69" s="399">
        <v>0</v>
      </c>
      <c r="AB69" s="399">
        <v>0</v>
      </c>
      <c r="AC69" s="399">
        <v>0</v>
      </c>
      <c r="AD69" s="399">
        <v>1.2921675412943205</v>
      </c>
      <c r="AE69" s="399">
        <v>2.601882491035191</v>
      </c>
      <c r="AF69" s="399">
        <v>3.8704101406903657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0</v>
      </c>
      <c r="AM69" s="399"/>
      <c r="AN69" s="399">
        <v>1.1575030173173349E-2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0.32257944602523769</v>
      </c>
      <c r="BH69" s="399">
        <v>0</v>
      </c>
      <c r="BI69" s="399">
        <v>0</v>
      </c>
      <c r="BJ69" s="399">
        <v>0</v>
      </c>
      <c r="BK69" s="399">
        <v>2.2400000000000002</v>
      </c>
      <c r="BL69" s="399">
        <v>1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4.1929895867156031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5.3268000000000004</v>
      </c>
      <c r="CJ69" s="399">
        <v>-2.8018099999999997</v>
      </c>
      <c r="CK69" s="399"/>
      <c r="CL69" s="399"/>
      <c r="CM69" s="399"/>
      <c r="CN69" s="399"/>
      <c r="CO69" s="399">
        <v>-1.3399099999999999</v>
      </c>
      <c r="CP69" s="399">
        <v>0.16613999999999965</v>
      </c>
      <c r="CQ69" s="399"/>
      <c r="CR69" s="399">
        <v>0.17134441231019704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-9.9581522264573508E-3</v>
      </c>
      <c r="DA69" s="399">
        <v>0</v>
      </c>
      <c r="DB69" s="399">
        <v>0</v>
      </c>
      <c r="DC69" s="399">
        <v>0.16608078218426492</v>
      </c>
      <c r="DD69" s="399">
        <v>0</v>
      </c>
      <c r="DE69" s="399">
        <v>0</v>
      </c>
      <c r="DF69" s="399">
        <v>0</v>
      </c>
      <c r="DG69" s="399">
        <v>1.3842007633557973E-2</v>
      </c>
      <c r="DH69" s="399">
        <v>0</v>
      </c>
      <c r="DI69" s="399">
        <v>0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0</v>
      </c>
      <c r="DP69" s="399">
        <v>1.3797747188309516E-3</v>
      </c>
      <c r="DQ69" s="399">
        <v>0</v>
      </c>
      <c r="DR69" s="399">
        <v>0</v>
      </c>
      <c r="DS69" s="399"/>
      <c r="DT69" s="399"/>
      <c r="DU69" s="399"/>
      <c r="DV69" s="399">
        <v>2.601882491035191</v>
      </c>
      <c r="DW69" s="399">
        <v>0</v>
      </c>
      <c r="DX69" s="399">
        <v>0</v>
      </c>
      <c r="DY69" s="399">
        <v>-1.3399100000000002</v>
      </c>
      <c r="DZ69" s="399">
        <v>0.16613999999999995</v>
      </c>
      <c r="EA69" s="399">
        <v>0</v>
      </c>
      <c r="EB69" s="399">
        <v>0</v>
      </c>
      <c r="EC69" s="399">
        <v>-1.3451369067020627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232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2328</v>
      </c>
      <c r="D70" s="399" t="s">
        <v>1824</v>
      </c>
      <c r="E70" s="399" t="s">
        <v>890</v>
      </c>
      <c r="F70" s="399" t="s">
        <v>1239</v>
      </c>
      <c r="G70" s="399" t="s">
        <v>1239</v>
      </c>
      <c r="H70" s="399" t="s">
        <v>1239</v>
      </c>
      <c r="I70" s="399" t="s">
        <v>1239</v>
      </c>
      <c r="J70" s="399" t="s">
        <v>2326</v>
      </c>
      <c r="K70" s="788">
        <v>44531</v>
      </c>
      <c r="L70" s="399">
        <v>0</v>
      </c>
      <c r="M70" s="399">
        <v>0</v>
      </c>
      <c r="N70" s="399">
        <v>0.40100000000000002</v>
      </c>
      <c r="O70" s="399">
        <v>0.40100000000000002</v>
      </c>
      <c r="P70" s="399">
        <v>0.40100000000000002</v>
      </c>
      <c r="Q70" s="399">
        <v>0.40100000000000002</v>
      </c>
      <c r="R70" s="399"/>
      <c r="S70" s="399">
        <v>395.23</v>
      </c>
      <c r="T70" s="399">
        <v>297.72000000000003</v>
      </c>
      <c r="U70" s="399"/>
      <c r="V70" s="399">
        <v>277.87295000000006</v>
      </c>
      <c r="W70" s="399">
        <v>277.87295000000006</v>
      </c>
      <c r="X70" s="399">
        <v>246.27415000000002</v>
      </c>
      <c r="Y70" s="399">
        <v>0</v>
      </c>
      <c r="Z70" s="399">
        <v>24.305258946538867</v>
      </c>
      <c r="AA70" s="399">
        <v>0</v>
      </c>
      <c r="AB70" s="399">
        <v>0</v>
      </c>
      <c r="AC70" s="399">
        <v>0</v>
      </c>
      <c r="AD70" s="399">
        <v>39.858398773770965</v>
      </c>
      <c r="AE70" s="399">
        <v>80.258067608085511</v>
      </c>
      <c r="AF70" s="399">
        <v>119.38726664744898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3.7577258494930916</v>
      </c>
      <c r="AM70" s="399"/>
      <c r="AN70" s="399">
        <v>0.35704516149557797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9.9503352197015644</v>
      </c>
      <c r="BH70" s="399">
        <v>0</v>
      </c>
      <c r="BI70" s="399">
        <v>0</v>
      </c>
      <c r="BJ70" s="399">
        <v>0</v>
      </c>
      <c r="BK70" s="399">
        <v>98.51</v>
      </c>
      <c r="BL70" s="399">
        <v>2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129.33760186715054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245.66</v>
      </c>
      <c r="CJ70" s="399">
        <v>-32.242950000000036</v>
      </c>
      <c r="CK70" s="399"/>
      <c r="CL70" s="399"/>
      <c r="CM70" s="399"/>
      <c r="CN70" s="399"/>
      <c r="CO70" s="399">
        <v>-36.72358000000002</v>
      </c>
      <c r="CP70" s="399">
        <v>5.1247799999999897</v>
      </c>
      <c r="CQ70" s="399"/>
      <c r="CR70" s="399">
        <v>9.8902530041601153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-0.30717069560072474</v>
      </c>
      <c r="DA70" s="399">
        <v>0</v>
      </c>
      <c r="DB70" s="399">
        <v>0</v>
      </c>
      <c r="DC70" s="399">
        <v>5.1229533581454234</v>
      </c>
      <c r="DD70" s="399">
        <v>0</v>
      </c>
      <c r="DE70" s="399">
        <v>0</v>
      </c>
      <c r="DF70" s="399">
        <v>0</v>
      </c>
      <c r="DG70" s="399">
        <v>0.42697269700436458</v>
      </c>
      <c r="DH70" s="399">
        <v>0</v>
      </c>
      <c r="DI70" s="399">
        <v>4.0576875763851881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0.54724932497581413</v>
      </c>
      <c r="DP70" s="399">
        <v>4.256074325009318E-2</v>
      </c>
      <c r="DQ70" s="399">
        <v>0</v>
      </c>
      <c r="DR70" s="399">
        <v>0</v>
      </c>
      <c r="DS70" s="399"/>
      <c r="DT70" s="399"/>
      <c r="DU70" s="399"/>
      <c r="DV70" s="399">
        <v>80.258067608085511</v>
      </c>
      <c r="DW70" s="399">
        <v>0</v>
      </c>
      <c r="DX70" s="399">
        <v>0</v>
      </c>
      <c r="DY70" s="399">
        <v>-36.723580000000013</v>
      </c>
      <c r="DZ70" s="399">
        <v>5.124779999999987</v>
      </c>
      <c r="EA70" s="399">
        <v>0</v>
      </c>
      <c r="EB70" s="399">
        <v>0</v>
      </c>
      <c r="EC70" s="399">
        <v>-41.492299968271318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232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2343</v>
      </c>
      <c r="D71" s="399" t="s">
        <v>533</v>
      </c>
      <c r="E71" s="399" t="s">
        <v>890</v>
      </c>
      <c r="F71" s="399" t="s">
        <v>1239</v>
      </c>
      <c r="G71" s="399" t="s">
        <v>1239</v>
      </c>
      <c r="H71" s="399" t="s">
        <v>1239</v>
      </c>
      <c r="I71" s="399" t="s">
        <v>893</v>
      </c>
      <c r="J71" s="399" t="s">
        <v>2326</v>
      </c>
      <c r="K71" s="788">
        <v>44531</v>
      </c>
      <c r="L71" s="399">
        <v>744</v>
      </c>
      <c r="M71" s="399">
        <v>744</v>
      </c>
      <c r="N71" s="399">
        <v>33.853999999999999</v>
      </c>
      <c r="O71" s="399">
        <v>33.853999999999999</v>
      </c>
      <c r="P71" s="399">
        <v>33.853999999999999</v>
      </c>
      <c r="Q71" s="399">
        <v>33.853999999999999</v>
      </c>
      <c r="R71" s="399">
        <v>78.569999999999993</v>
      </c>
      <c r="S71" s="399">
        <v>72.290000000000006</v>
      </c>
      <c r="T71" s="399">
        <v>297.72000000000003</v>
      </c>
      <c r="U71" s="399">
        <v>58456.079999999994</v>
      </c>
      <c r="V71" s="399">
        <v>12526.31854</v>
      </c>
      <c r="W71" s="399">
        <v>70982.398539999995</v>
      </c>
      <c r="X71" s="399">
        <v>53108.637759999998</v>
      </c>
      <c r="Y71" s="399">
        <v>0</v>
      </c>
      <c r="Z71" s="399">
        <v>1785.1927821626707</v>
      </c>
      <c r="AA71" s="399">
        <v>0</v>
      </c>
      <c r="AB71" s="399">
        <v>0</v>
      </c>
      <c r="AC71" s="399">
        <v>0</v>
      </c>
      <c r="AD71" s="399">
        <v>22678.491099761857</v>
      </c>
      <c r="AE71" s="399">
        <v>35779.601789563239</v>
      </c>
      <c r="AF71" s="399">
        <v>10079.143454071665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317.24202221630702</v>
      </c>
      <c r="AM71" s="399"/>
      <c r="AN71" s="399">
        <v>20.412398071465667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324.3366444184573</v>
      </c>
      <c r="BH71" s="399">
        <v>0</v>
      </c>
      <c r="BI71" s="399">
        <v>0</v>
      </c>
      <c r="BJ71" s="399">
        <v>0</v>
      </c>
      <c r="BK71" s="399">
        <v>0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10403.480098490123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53107.063999999998</v>
      </c>
      <c r="CJ71" s="399">
        <v>-17875.364539999995</v>
      </c>
      <c r="CK71" s="399"/>
      <c r="CL71" s="399"/>
      <c r="CM71" s="399"/>
      <c r="CN71" s="399"/>
      <c r="CO71" s="399">
        <v>-18306.414899999996</v>
      </c>
      <c r="CP71" s="399">
        <v>432.65411999999907</v>
      </c>
      <c r="CQ71" s="399"/>
      <c r="CR71" s="399">
        <v>618.31097239602241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-174.77289857594224</v>
      </c>
      <c r="DA71" s="399">
        <v>0</v>
      </c>
      <c r="DB71" s="399">
        <v>0</v>
      </c>
      <c r="DC71" s="399">
        <v>432.4999076973927</v>
      </c>
      <c r="DD71" s="399">
        <v>0</v>
      </c>
      <c r="DE71" s="399">
        <v>0</v>
      </c>
      <c r="DF71" s="399">
        <v>0</v>
      </c>
      <c r="DG71" s="399">
        <v>13.917409689926728</v>
      </c>
      <c r="DH71" s="399">
        <v>0</v>
      </c>
      <c r="DI71" s="399">
        <v>298.03239659231963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46.200944258681318</v>
      </c>
      <c r="DP71" s="399">
        <v>2.4332127336477001</v>
      </c>
      <c r="DQ71" s="399">
        <v>0</v>
      </c>
      <c r="DR71" s="399">
        <v>0</v>
      </c>
      <c r="DS71" s="399"/>
      <c r="DT71" s="399"/>
      <c r="DU71" s="399">
        <v>35779.601789563239</v>
      </c>
      <c r="DV71" s="399">
        <v>0</v>
      </c>
      <c r="DW71" s="399">
        <v>0</v>
      </c>
      <c r="DX71" s="399">
        <v>0</v>
      </c>
      <c r="DY71" s="399">
        <v>-18306.414899999996</v>
      </c>
      <c r="DZ71" s="399">
        <v>432.65411999999924</v>
      </c>
      <c r="EA71" s="399">
        <v>0</v>
      </c>
      <c r="EB71" s="399">
        <v>0</v>
      </c>
      <c r="EC71" s="399">
        <v>-18497.554382287315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232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2343</v>
      </c>
      <c r="D72" s="399" t="s">
        <v>533</v>
      </c>
      <c r="E72" s="399" t="s">
        <v>890</v>
      </c>
      <c r="F72" s="399" t="s">
        <v>1239</v>
      </c>
      <c r="G72" s="399" t="s">
        <v>1239</v>
      </c>
      <c r="H72" s="399" t="s">
        <v>1239</v>
      </c>
      <c r="I72" s="399" t="s">
        <v>2323</v>
      </c>
      <c r="J72" s="399" t="s">
        <v>2326</v>
      </c>
      <c r="K72" s="788">
        <v>44531</v>
      </c>
      <c r="L72" s="399">
        <v>749</v>
      </c>
      <c r="M72" s="399">
        <v>749</v>
      </c>
      <c r="N72" s="399">
        <v>229.10900000000001</v>
      </c>
      <c r="O72" s="399">
        <v>229.10900000000001</v>
      </c>
      <c r="P72" s="399">
        <v>229.10900000000001</v>
      </c>
      <c r="Q72" s="399">
        <v>229.10900000000001</v>
      </c>
      <c r="R72" s="399">
        <v>25.76</v>
      </c>
      <c r="S72" s="399">
        <v>72.290000000000006</v>
      </c>
      <c r="T72" s="399">
        <v>297.72000000000003</v>
      </c>
      <c r="U72" s="399">
        <v>19294.240000000002</v>
      </c>
      <c r="V72" s="399">
        <v>84772.621090000015</v>
      </c>
      <c r="W72" s="399">
        <v>104066.86109000002</v>
      </c>
      <c r="X72" s="399">
        <v>104161.92496</v>
      </c>
      <c r="Y72" s="399">
        <v>0</v>
      </c>
      <c r="Z72" s="399">
        <v>12081.40051776769</v>
      </c>
      <c r="AA72" s="399">
        <v>0</v>
      </c>
      <c r="AB72" s="399">
        <v>0</v>
      </c>
      <c r="AC72" s="399">
        <v>0</v>
      </c>
      <c r="AD72" s="399">
        <v>9227.9626137577361</v>
      </c>
      <c r="AE72" s="399">
        <v>10065.258266049002</v>
      </c>
      <c r="AF72" s="399">
        <v>68211.215147956085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2146.9546425224758</v>
      </c>
      <c r="AM72" s="399"/>
      <c r="AN72" s="399">
        <v>138.14214301871058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2194.9679289321302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70406.183076888221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104162.31839999999</v>
      </c>
      <c r="CJ72" s="399">
        <v>95.427309999984573</v>
      </c>
      <c r="CK72" s="399"/>
      <c r="CL72" s="399"/>
      <c r="CM72" s="399"/>
      <c r="CN72" s="399"/>
      <c r="CO72" s="399">
        <v>-2832.9491500000036</v>
      </c>
      <c r="CP72" s="399">
        <v>2928.013019999994</v>
      </c>
      <c r="CQ72" s="399"/>
      <c r="CR72" s="399">
        <v>5296.1274941598822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-71.115744291026203</v>
      </c>
      <c r="DA72" s="399">
        <v>0</v>
      </c>
      <c r="DB72" s="399">
        <v>0</v>
      </c>
      <c r="DC72" s="399">
        <v>2926.9693788811419</v>
      </c>
      <c r="DD72" s="399">
        <v>0</v>
      </c>
      <c r="DE72" s="399">
        <v>0</v>
      </c>
      <c r="DF72" s="399">
        <v>0</v>
      </c>
      <c r="DG72" s="399">
        <v>94.186914888917727</v>
      </c>
      <c r="DH72" s="399">
        <v>0</v>
      </c>
      <c r="DI72" s="399">
        <v>2016.9523350525724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312.66769475282717</v>
      </c>
      <c r="DP72" s="399">
        <v>16.466914875444274</v>
      </c>
      <c r="DQ72" s="399">
        <v>0</v>
      </c>
      <c r="DR72" s="399">
        <v>0</v>
      </c>
      <c r="DS72" s="399"/>
      <c r="DT72" s="399"/>
      <c r="DU72" s="399">
        <v>10065.258266049002</v>
      </c>
      <c r="DV72" s="399">
        <v>0</v>
      </c>
      <c r="DW72" s="399">
        <v>0</v>
      </c>
      <c r="DX72" s="399">
        <v>0</v>
      </c>
      <c r="DY72" s="399">
        <v>-2832.9491500000076</v>
      </c>
      <c r="DZ72" s="399">
        <v>2928.0130199999985</v>
      </c>
      <c r="EA72" s="399">
        <v>0</v>
      </c>
      <c r="EB72" s="399">
        <v>0</v>
      </c>
      <c r="EC72" s="399">
        <v>-5203.5979394917886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232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2343</v>
      </c>
      <c r="D73" s="399" t="s">
        <v>533</v>
      </c>
      <c r="E73" s="399" t="s">
        <v>890</v>
      </c>
      <c r="F73" s="399" t="s">
        <v>1239</v>
      </c>
      <c r="G73" s="399" t="s">
        <v>1239</v>
      </c>
      <c r="H73" s="399" t="s">
        <v>1239</v>
      </c>
      <c r="I73" s="399" t="s">
        <v>1239</v>
      </c>
      <c r="J73" s="399" t="s">
        <v>2326</v>
      </c>
      <c r="K73" s="788">
        <v>44531</v>
      </c>
      <c r="L73" s="399">
        <v>0</v>
      </c>
      <c r="M73" s="399">
        <v>0</v>
      </c>
      <c r="N73" s="399">
        <v>0</v>
      </c>
      <c r="O73" s="399">
        <v>0</v>
      </c>
      <c r="P73" s="399">
        <v>0</v>
      </c>
      <c r="Q73" s="399">
        <v>0</v>
      </c>
      <c r="R73" s="399"/>
      <c r="S73" s="399"/>
      <c r="T73" s="399"/>
      <c r="U73" s="399"/>
      <c r="V73" s="399"/>
      <c r="W73" s="399"/>
      <c r="X73" s="399"/>
      <c r="Y73" s="399"/>
      <c r="Z73" s="399"/>
      <c r="AA73" s="399">
        <v>0</v>
      </c>
      <c r="AB73" s="399"/>
      <c r="AC73" s="399"/>
      <c r="AD73" s="399"/>
      <c r="AE73" s="399"/>
      <c r="AF73" s="399"/>
      <c r="AG73" s="399"/>
      <c r="AH73" s="399"/>
      <c r="AI73" s="399"/>
      <c r="AJ73" s="399"/>
      <c r="AK73" s="399"/>
      <c r="AL73" s="399"/>
      <c r="AM73" s="399"/>
      <c r="AN73" s="399"/>
      <c r="AO73" s="399"/>
      <c r="AP73" s="399"/>
      <c r="AQ73" s="399"/>
      <c r="AR73" s="399"/>
      <c r="AS73" s="399"/>
      <c r="AT73" s="399"/>
      <c r="AU73" s="399"/>
      <c r="AV73" s="399"/>
      <c r="AW73" s="399"/>
      <c r="AX73" s="399"/>
      <c r="AY73" s="399"/>
      <c r="AZ73" s="399">
        <v>0</v>
      </c>
      <c r="BA73" s="399"/>
      <c r="BB73" s="399"/>
      <c r="BC73" s="399"/>
      <c r="BD73" s="399"/>
      <c r="BE73" s="399"/>
      <c r="BF73" s="399"/>
      <c r="BG73" s="399"/>
      <c r="BH73" s="399"/>
      <c r="BI73" s="399">
        <v>0</v>
      </c>
      <c r="BJ73" s="399">
        <v>0</v>
      </c>
      <c r="BK73" s="399">
        <v>64870.42</v>
      </c>
      <c r="BL73" s="399">
        <v>1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/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/>
      <c r="CJ73" s="399">
        <v>-0.03</v>
      </c>
      <c r="CK73" s="399"/>
      <c r="CL73" s="399"/>
      <c r="CM73" s="399"/>
      <c r="CN73" s="399"/>
      <c r="CO73" s="399">
        <v>0</v>
      </c>
      <c r="CP73" s="399">
        <v>0</v>
      </c>
      <c r="CQ73" s="399"/>
      <c r="CR73" s="399"/>
      <c r="CS73" s="399"/>
      <c r="CT73" s="399"/>
      <c r="CU73" s="399"/>
      <c r="CV73" s="399"/>
      <c r="CW73" s="399"/>
      <c r="CX73" s="399"/>
      <c r="CY73" s="399"/>
      <c r="CZ73" s="399"/>
      <c r="DA73" s="399"/>
      <c r="DB73" s="399"/>
      <c r="DC73" s="399"/>
      <c r="DD73" s="399"/>
      <c r="DE73" s="399"/>
      <c r="DF73" s="399"/>
      <c r="DG73" s="399"/>
      <c r="DH73" s="399"/>
      <c r="DI73" s="399"/>
      <c r="DJ73" s="399"/>
      <c r="DK73" s="399">
        <v>0</v>
      </c>
      <c r="DL73" s="399"/>
      <c r="DM73" s="399"/>
      <c r="DN73" s="399"/>
      <c r="DO73" s="399"/>
      <c r="DP73" s="399"/>
      <c r="DQ73" s="399"/>
      <c r="DR73" s="399"/>
      <c r="DS73" s="399"/>
      <c r="DT73" s="399"/>
      <c r="DU73" s="399"/>
      <c r="DV73" s="399"/>
      <c r="DW73" s="399"/>
      <c r="DX73" s="399"/>
      <c r="DY73" s="399"/>
      <c r="DZ73" s="399"/>
      <c r="EA73" s="399"/>
      <c r="EB73" s="399"/>
      <c r="EC73" s="399"/>
      <c r="ED73" s="399"/>
      <c r="EE73" s="399"/>
      <c r="EF73" s="399"/>
      <c r="EG73" s="399"/>
      <c r="EH73" s="399"/>
      <c r="EI73" s="399"/>
      <c r="EJ73" s="399"/>
      <c r="EK73" s="399"/>
      <c r="EL73" s="399"/>
      <c r="EM73" s="399"/>
      <c r="EN73" s="399"/>
      <c r="EO73" s="399"/>
      <c r="EP73" s="399"/>
      <c r="EQ73" s="399"/>
      <c r="ER73" s="399"/>
      <c r="ES73" s="399"/>
      <c r="ET73" s="399"/>
      <c r="EU73" s="399"/>
      <c r="EV73" s="399">
        <v>232</v>
      </c>
      <c r="EW73" s="399"/>
      <c r="EX73" s="399"/>
      <c r="EY73" s="399"/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2325</v>
      </c>
      <c r="D74" s="399" t="s">
        <v>533</v>
      </c>
      <c r="E74" s="399" t="s">
        <v>890</v>
      </c>
      <c r="F74" s="399" t="s">
        <v>1239</v>
      </c>
      <c r="G74" s="399" t="s">
        <v>1239</v>
      </c>
      <c r="H74" s="399" t="s">
        <v>1239</v>
      </c>
      <c r="I74" s="399" t="s">
        <v>893</v>
      </c>
      <c r="J74" s="399" t="s">
        <v>2326</v>
      </c>
      <c r="K74" s="788">
        <v>44531</v>
      </c>
      <c r="L74" s="399">
        <v>0</v>
      </c>
      <c r="M74" s="399">
        <v>0</v>
      </c>
      <c r="N74" s="399">
        <v>47.222999999999999</v>
      </c>
      <c r="O74" s="399">
        <v>47.222999999999999</v>
      </c>
      <c r="P74" s="399">
        <v>47.222999999999999</v>
      </c>
      <c r="Q74" s="399">
        <v>47.222999999999999</v>
      </c>
      <c r="R74" s="399"/>
      <c r="S74" s="399">
        <v>1962.25</v>
      </c>
      <c r="T74" s="399">
        <v>297.72000000000003</v>
      </c>
      <c r="U74" s="399"/>
      <c r="V74" s="399">
        <v>106722.56331</v>
      </c>
      <c r="W74" s="399">
        <v>106722.56331</v>
      </c>
      <c r="X74" s="399">
        <v>79325.667629999996</v>
      </c>
      <c r="Y74" s="399">
        <v>0</v>
      </c>
      <c r="Z74" s="399">
        <v>2490.1683331974891</v>
      </c>
      <c r="AA74" s="399">
        <v>0</v>
      </c>
      <c r="AB74" s="399">
        <v>0</v>
      </c>
      <c r="AC74" s="399">
        <v>0</v>
      </c>
      <c r="AD74" s="399">
        <v>34632.472200094315</v>
      </c>
      <c r="AE74" s="399">
        <v>54617.484439014625</v>
      </c>
      <c r="AF74" s="399">
        <v>14059.413697986241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442.52141593668892</v>
      </c>
      <c r="AM74" s="399"/>
      <c r="AN74" s="399">
        <v>28.473287473528188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452.41771605638354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14511.831414042625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79320.628199999992</v>
      </c>
      <c r="CJ74" s="399">
        <v>-27401.96510999999</v>
      </c>
      <c r="CK74" s="399"/>
      <c r="CL74" s="399"/>
      <c r="CM74" s="399"/>
      <c r="CN74" s="399"/>
      <c r="CO74" s="399">
        <v>-28000.405620000001</v>
      </c>
      <c r="CP74" s="399">
        <v>603.50993999999866</v>
      </c>
      <c r="CQ74" s="399"/>
      <c r="CR74" s="399">
        <v>839.3771520639275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-266.89683738811436</v>
      </c>
      <c r="DA74" s="399">
        <v>0</v>
      </c>
      <c r="DB74" s="399">
        <v>0</v>
      </c>
      <c r="DC74" s="399">
        <v>603.29482900673611</v>
      </c>
      <c r="DD74" s="399">
        <v>0</v>
      </c>
      <c r="DE74" s="399">
        <v>0</v>
      </c>
      <c r="DF74" s="399">
        <v>0</v>
      </c>
      <c r="DG74" s="399">
        <v>19.413417551468342</v>
      </c>
      <c r="DH74" s="399">
        <v>0</v>
      </c>
      <c r="DI74" s="399">
        <v>415.72587771841199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64.445772751453489</v>
      </c>
      <c r="DP74" s="399">
        <v>3.3940924239689636</v>
      </c>
      <c r="DQ74" s="399">
        <v>0</v>
      </c>
      <c r="DR74" s="399">
        <v>0</v>
      </c>
      <c r="DS74" s="399"/>
      <c r="DT74" s="399"/>
      <c r="DU74" s="399"/>
      <c r="DV74" s="399">
        <v>54617.484439014625</v>
      </c>
      <c r="DW74" s="399">
        <v>0</v>
      </c>
      <c r="DX74" s="399">
        <v>0</v>
      </c>
      <c r="DY74" s="399">
        <v>-28000.405620000005</v>
      </c>
      <c r="DZ74" s="399">
        <v>603.50993999999992</v>
      </c>
      <c r="EA74" s="399">
        <v>0</v>
      </c>
      <c r="EB74" s="399">
        <v>0</v>
      </c>
      <c r="EC74" s="399">
        <v>-28236.476598493009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232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2325</v>
      </c>
      <c r="D75" s="399" t="s">
        <v>533</v>
      </c>
      <c r="E75" s="399" t="s">
        <v>890</v>
      </c>
      <c r="F75" s="399" t="s">
        <v>1239</v>
      </c>
      <c r="G75" s="399" t="s">
        <v>1239</v>
      </c>
      <c r="H75" s="399" t="s">
        <v>1239</v>
      </c>
      <c r="I75" s="399" t="s">
        <v>2323</v>
      </c>
      <c r="J75" s="399" t="s">
        <v>2326</v>
      </c>
      <c r="K75" s="788">
        <v>44531</v>
      </c>
      <c r="L75" s="399">
        <v>0</v>
      </c>
      <c r="M75" s="399">
        <v>0</v>
      </c>
      <c r="N75" s="399">
        <v>619.91499999999996</v>
      </c>
      <c r="O75" s="399">
        <v>619.91499999999996</v>
      </c>
      <c r="P75" s="399">
        <v>619.91499999999996</v>
      </c>
      <c r="Q75" s="399">
        <v>619.91499999999996</v>
      </c>
      <c r="R75" s="399"/>
      <c r="S75" s="399">
        <v>72.290000000000006</v>
      </c>
      <c r="T75" s="399">
        <v>297.72000000000003</v>
      </c>
      <c r="U75" s="399"/>
      <c r="V75" s="399">
        <v>229374.74914999999</v>
      </c>
      <c r="W75" s="399">
        <v>229374.74914999999</v>
      </c>
      <c r="X75" s="399">
        <v>243899.35759999999</v>
      </c>
      <c r="Y75" s="399">
        <v>0</v>
      </c>
      <c r="Z75" s="399">
        <v>32689.424692927631</v>
      </c>
      <c r="AA75" s="399">
        <v>0</v>
      </c>
      <c r="AB75" s="399">
        <v>0</v>
      </c>
      <c r="AC75" s="399">
        <v>0</v>
      </c>
      <c r="AD75" s="399">
        <v>0</v>
      </c>
      <c r="AE75" s="399">
        <v>0</v>
      </c>
      <c r="AF75" s="399">
        <v>184563.48479738986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5809.1536658067571</v>
      </c>
      <c r="AM75" s="399"/>
      <c r="AN75" s="399">
        <v>373.78010723910438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5939.0663119474193</v>
      </c>
      <c r="BH75" s="399">
        <v>0</v>
      </c>
      <c r="BI75" s="399">
        <v>0</v>
      </c>
      <c r="BJ75" s="399">
        <v>0</v>
      </c>
      <c r="BK75" s="399">
        <v>0</v>
      </c>
      <c r="BL75" s="399">
        <v>0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190502.55110933728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243901.32479999997</v>
      </c>
      <c r="CJ75" s="399">
        <v>14526.545649999956</v>
      </c>
      <c r="CK75" s="399"/>
      <c r="CL75" s="399"/>
      <c r="CM75" s="399"/>
      <c r="CN75" s="399"/>
      <c r="CO75" s="399">
        <v>6602.0947499999947</v>
      </c>
      <c r="CP75" s="399">
        <v>7922.5136999999822</v>
      </c>
      <c r="CQ75" s="399"/>
      <c r="CR75" s="399">
        <v>14522.496244862908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0</v>
      </c>
      <c r="DA75" s="399">
        <v>0</v>
      </c>
      <c r="DB75" s="399">
        <v>0</v>
      </c>
      <c r="DC75" s="399">
        <v>7919.6898529045284</v>
      </c>
      <c r="DD75" s="399">
        <v>0</v>
      </c>
      <c r="DE75" s="399">
        <v>0</v>
      </c>
      <c r="DF75" s="399">
        <v>0</v>
      </c>
      <c r="DG75" s="399">
        <v>254.84761115173751</v>
      </c>
      <c r="DH75" s="399">
        <v>0</v>
      </c>
      <c r="DI75" s="399">
        <v>5457.3980366730066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846.00515035506669</v>
      </c>
      <c r="DP75" s="399">
        <v>44.555593778555362</v>
      </c>
      <c r="DQ75" s="399">
        <v>0</v>
      </c>
      <c r="DR75" s="399">
        <v>0</v>
      </c>
      <c r="DS75" s="399"/>
      <c r="DT75" s="399"/>
      <c r="DU75" s="399"/>
      <c r="DV75" s="399">
        <v>0</v>
      </c>
      <c r="DW75" s="399">
        <v>0</v>
      </c>
      <c r="DX75" s="399">
        <v>0</v>
      </c>
      <c r="DY75" s="399">
        <v>6602.0947499999966</v>
      </c>
      <c r="DZ75" s="399">
        <v>7922.5136999999813</v>
      </c>
      <c r="EA75" s="399">
        <v>0</v>
      </c>
      <c r="EB75" s="399">
        <v>0</v>
      </c>
      <c r="EC75" s="399">
        <v>0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232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2325</v>
      </c>
      <c r="D76" s="399" t="s">
        <v>533</v>
      </c>
      <c r="E76" s="399" t="s">
        <v>890</v>
      </c>
      <c r="F76" s="399" t="s">
        <v>1239</v>
      </c>
      <c r="G76" s="399" t="s">
        <v>1239</v>
      </c>
      <c r="H76" s="399" t="s">
        <v>1239</v>
      </c>
      <c r="I76" s="399" t="s">
        <v>1239</v>
      </c>
      <c r="J76" s="399" t="s">
        <v>2326</v>
      </c>
      <c r="K76" s="788">
        <v>44531</v>
      </c>
      <c r="L76" s="399">
        <v>3050</v>
      </c>
      <c r="M76" s="399">
        <v>3050</v>
      </c>
      <c r="N76" s="399">
        <v>0</v>
      </c>
      <c r="O76" s="399">
        <v>0</v>
      </c>
      <c r="P76" s="399">
        <v>0</v>
      </c>
      <c r="Q76" s="399">
        <v>0</v>
      </c>
      <c r="R76" s="399">
        <v>25.76</v>
      </c>
      <c r="S76" s="399"/>
      <c r="T76" s="399"/>
      <c r="U76" s="399">
        <v>78568</v>
      </c>
      <c r="V76" s="399"/>
      <c r="W76" s="399">
        <v>78568</v>
      </c>
      <c r="X76" s="399">
        <v>57096</v>
      </c>
      <c r="Y76" s="399">
        <v>0</v>
      </c>
      <c r="Z76" s="399">
        <v>0</v>
      </c>
      <c r="AA76" s="399">
        <v>0</v>
      </c>
      <c r="AB76" s="399">
        <v>0</v>
      </c>
      <c r="AC76" s="399">
        <v>0</v>
      </c>
      <c r="AD76" s="399">
        <v>37577.150830388644</v>
      </c>
      <c r="AE76" s="399">
        <v>40986.699214218235</v>
      </c>
      <c r="AF76" s="399"/>
      <c r="AG76" s="399"/>
      <c r="AH76" s="399"/>
      <c r="AI76" s="399">
        <v>0</v>
      </c>
      <c r="AJ76" s="399">
        <v>0</v>
      </c>
      <c r="AK76" s="399">
        <v>0</v>
      </c>
      <c r="AL76" s="399">
        <v>0</v>
      </c>
      <c r="AM76" s="399"/>
      <c r="AN76" s="399">
        <v>0</v>
      </c>
      <c r="AO76" s="399">
        <v>0</v>
      </c>
      <c r="AP76" s="399">
        <v>0</v>
      </c>
      <c r="AQ76" s="399">
        <v>0</v>
      </c>
      <c r="AR76" s="399">
        <v>0</v>
      </c>
      <c r="AS76" s="399"/>
      <c r="AT76" s="399"/>
      <c r="AU76" s="399">
        <v>0</v>
      </c>
      <c r="AV76" s="399">
        <v>0</v>
      </c>
      <c r="AW76" s="399">
        <v>0</v>
      </c>
      <c r="AX76" s="399"/>
      <c r="AY76" s="399"/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/>
      <c r="BG76" s="399">
        <v>0</v>
      </c>
      <c r="BH76" s="399">
        <v>0</v>
      </c>
      <c r="BI76" s="399">
        <v>0</v>
      </c>
      <c r="BJ76" s="399">
        <v>0</v>
      </c>
      <c r="BK76" s="399">
        <v>150950.87</v>
      </c>
      <c r="BL76" s="399">
        <v>3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0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57096</v>
      </c>
      <c r="CJ76" s="399">
        <v>-21472.029999999984</v>
      </c>
      <c r="CK76" s="399"/>
      <c r="CL76" s="399"/>
      <c r="CM76" s="399"/>
      <c r="CN76" s="399"/>
      <c r="CO76" s="399">
        <v>-21472.000000000007</v>
      </c>
      <c r="CP76" s="399">
        <v>0</v>
      </c>
      <c r="CQ76" s="399"/>
      <c r="CR76" s="399">
        <v>-289.59014697948442</v>
      </c>
      <c r="CS76" s="399">
        <v>0</v>
      </c>
      <c r="CT76" s="399">
        <v>0</v>
      </c>
      <c r="CU76" s="399">
        <v>0</v>
      </c>
      <c r="CV76" s="399">
        <v>0</v>
      </c>
      <c r="CW76" s="399"/>
      <c r="CX76" s="399"/>
      <c r="CY76" s="399"/>
      <c r="CZ76" s="399">
        <v>-289.59014697948442</v>
      </c>
      <c r="DA76" s="399">
        <v>0</v>
      </c>
      <c r="DB76" s="399">
        <v>0</v>
      </c>
      <c r="DC76" s="399"/>
      <c r="DD76" s="399"/>
      <c r="DE76" s="399">
        <v>0</v>
      </c>
      <c r="DF76" s="399">
        <v>0</v>
      </c>
      <c r="DG76" s="399">
        <v>0</v>
      </c>
      <c r="DH76" s="399">
        <v>0</v>
      </c>
      <c r="DI76" s="399">
        <v>0</v>
      </c>
      <c r="DJ76" s="399"/>
      <c r="DK76" s="399">
        <v>0</v>
      </c>
      <c r="DL76" s="399">
        <v>0</v>
      </c>
      <c r="DM76" s="399"/>
      <c r="DN76" s="399">
        <v>0</v>
      </c>
      <c r="DO76" s="399">
        <v>0</v>
      </c>
      <c r="DP76" s="399">
        <v>0</v>
      </c>
      <c r="DQ76" s="399">
        <v>0</v>
      </c>
      <c r="DR76" s="399">
        <v>0</v>
      </c>
      <c r="DS76" s="399"/>
      <c r="DT76" s="399"/>
      <c r="DU76" s="399">
        <v>40986.699214218235</v>
      </c>
      <c r="DV76" s="399"/>
      <c r="DW76" s="399">
        <v>0</v>
      </c>
      <c r="DX76" s="399">
        <v>0</v>
      </c>
      <c r="DY76" s="399">
        <v>-21472</v>
      </c>
      <c r="DZ76" s="399"/>
      <c r="EA76" s="399">
        <v>0</v>
      </c>
      <c r="EB76" s="399"/>
      <c r="EC76" s="399">
        <v>-21189.551021962558</v>
      </c>
      <c r="ED76" s="399"/>
      <c r="EE76" s="399">
        <v>0</v>
      </c>
      <c r="EF76" s="399">
        <v>0</v>
      </c>
      <c r="EG76" s="399"/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/>
      <c r="EN76" s="399"/>
      <c r="EO76" s="399">
        <v>0</v>
      </c>
      <c r="EP76" s="399">
        <v>0</v>
      </c>
      <c r="EQ76" s="399"/>
      <c r="ER76" s="399">
        <v>0</v>
      </c>
      <c r="ES76" s="399"/>
      <c r="ET76" s="399">
        <v>0</v>
      </c>
      <c r="EU76" s="399"/>
      <c r="EV76" s="399">
        <v>232</v>
      </c>
      <c r="EW76" s="399"/>
      <c r="EX76" s="399"/>
      <c r="EY76" s="399"/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2328</v>
      </c>
      <c r="D77" s="399" t="s">
        <v>1824</v>
      </c>
      <c r="E77" s="399" t="s">
        <v>918</v>
      </c>
      <c r="F77" s="399" t="s">
        <v>1239</v>
      </c>
      <c r="G77" s="399" t="s">
        <v>1239</v>
      </c>
      <c r="H77" s="399" t="s">
        <v>1239</v>
      </c>
      <c r="I77" s="399" t="s">
        <v>1239</v>
      </c>
      <c r="J77" s="399" t="s">
        <v>2326</v>
      </c>
      <c r="K77" s="788">
        <v>44531</v>
      </c>
      <c r="L77" s="399">
        <v>0</v>
      </c>
      <c r="M77" s="399">
        <v>0</v>
      </c>
      <c r="N77" s="399">
        <v>30.117000000000001</v>
      </c>
      <c r="O77" s="399">
        <v>30.117000000000001</v>
      </c>
      <c r="P77" s="399">
        <v>30.117000000000001</v>
      </c>
      <c r="Q77" s="399">
        <v>30.117000000000001</v>
      </c>
      <c r="R77" s="399"/>
      <c r="S77" s="399">
        <v>395.23</v>
      </c>
      <c r="T77" s="399">
        <v>297.72000000000003</v>
      </c>
      <c r="U77" s="399"/>
      <c r="V77" s="399">
        <v>20869.575150000001</v>
      </c>
      <c r="W77" s="399">
        <v>20869.575150000001</v>
      </c>
      <c r="X77" s="399">
        <v>18496.35555</v>
      </c>
      <c r="Y77" s="399">
        <v>0</v>
      </c>
      <c r="Z77" s="399">
        <v>1825.440108959878</v>
      </c>
      <c r="AA77" s="399">
        <v>0</v>
      </c>
      <c r="AB77" s="399">
        <v>0</v>
      </c>
      <c r="AC77" s="399">
        <v>0</v>
      </c>
      <c r="AD77" s="399">
        <v>2993.5546031662348</v>
      </c>
      <c r="AE77" s="399">
        <v>6027.7611525005268</v>
      </c>
      <c r="AF77" s="399">
        <v>8966.5494005516739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282.22301598300112</v>
      </c>
      <c r="AM77" s="399"/>
      <c r="AN77" s="399">
        <v>26.815783363497061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747.31732122631422</v>
      </c>
      <c r="BH77" s="399">
        <v>0</v>
      </c>
      <c r="BI77" s="399">
        <v>0</v>
      </c>
      <c r="BJ77" s="399">
        <v>0</v>
      </c>
      <c r="BK77" s="399">
        <v>7142.9</v>
      </c>
      <c r="BL77" s="399">
        <v>47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9713.8667217779876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18498.198</v>
      </c>
      <c r="CJ77" s="399">
        <v>-2371.4071499999991</v>
      </c>
      <c r="CK77" s="399"/>
      <c r="CL77" s="399"/>
      <c r="CM77" s="399"/>
      <c r="CN77" s="399"/>
      <c r="CO77" s="399">
        <v>-2758.1148600000015</v>
      </c>
      <c r="CP77" s="399">
        <v>384.89525999999921</v>
      </c>
      <c r="CQ77" s="399"/>
      <c r="CR77" s="399">
        <v>742.80486216032477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-23.069974661862943</v>
      </c>
      <c r="DA77" s="399">
        <v>0</v>
      </c>
      <c r="DB77" s="399">
        <v>0</v>
      </c>
      <c r="DC77" s="399">
        <v>384.75807054180768</v>
      </c>
      <c r="DD77" s="399">
        <v>0</v>
      </c>
      <c r="DE77" s="399">
        <v>0</v>
      </c>
      <c r="DF77" s="399">
        <v>0</v>
      </c>
      <c r="DG77" s="399">
        <v>32.06767260768197</v>
      </c>
      <c r="DH77" s="399">
        <v>0</v>
      </c>
      <c r="DI77" s="399">
        <v>304.7515629376378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41.101017257597448</v>
      </c>
      <c r="DP77" s="399">
        <v>3.1965134774639807</v>
      </c>
      <c r="DQ77" s="399">
        <v>0</v>
      </c>
      <c r="DR77" s="399">
        <v>0</v>
      </c>
      <c r="DS77" s="399"/>
      <c r="DT77" s="399"/>
      <c r="DU77" s="399"/>
      <c r="DV77" s="399">
        <v>6027.7611525005268</v>
      </c>
      <c r="DW77" s="399">
        <v>0</v>
      </c>
      <c r="DX77" s="399">
        <v>0</v>
      </c>
      <c r="DY77" s="399">
        <v>-2758.1148600000015</v>
      </c>
      <c r="DZ77" s="399">
        <v>384.89525999999933</v>
      </c>
      <c r="EA77" s="399">
        <v>0</v>
      </c>
      <c r="EB77" s="399">
        <v>0</v>
      </c>
      <c r="EC77" s="399">
        <v>-3116.2683245496937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232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2328</v>
      </c>
      <c r="D78" s="399" t="s">
        <v>2335</v>
      </c>
      <c r="E78" s="399" t="s">
        <v>894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2326</v>
      </c>
      <c r="K78" s="788">
        <v>44531</v>
      </c>
      <c r="L78" s="399">
        <v>0</v>
      </c>
      <c r="M78" s="399">
        <v>0</v>
      </c>
      <c r="N78" s="399">
        <v>478.95499999999998</v>
      </c>
      <c r="O78" s="399">
        <v>478.95499999999998</v>
      </c>
      <c r="P78" s="399">
        <v>478.95499999999998</v>
      </c>
      <c r="Q78" s="399">
        <v>478.95499999999998</v>
      </c>
      <c r="R78" s="399"/>
      <c r="S78" s="399">
        <v>395.23</v>
      </c>
      <c r="T78" s="399">
        <v>297.72000000000003</v>
      </c>
      <c r="U78" s="399"/>
      <c r="V78" s="399">
        <v>331891.86725000001</v>
      </c>
      <c r="W78" s="399">
        <v>331891.86725000001</v>
      </c>
      <c r="X78" s="399">
        <v>294150.21324999997</v>
      </c>
      <c r="Y78" s="399">
        <v>0</v>
      </c>
      <c r="Z78" s="399">
        <v>29030.237652717013</v>
      </c>
      <c r="AA78" s="399">
        <v>0</v>
      </c>
      <c r="AB78" s="399">
        <v>0</v>
      </c>
      <c r="AC78" s="399">
        <v>0</v>
      </c>
      <c r="AD78" s="399">
        <v>47606.931133893944</v>
      </c>
      <c r="AE78" s="399">
        <v>95860.356037981532</v>
      </c>
      <c r="AF78" s="399">
        <v>142596.32991802724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4488.2333771669919</v>
      </c>
      <c r="AM78" s="399"/>
      <c r="AN78" s="399">
        <v>426.45527512248009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11884.695274693671</v>
      </c>
      <c r="BH78" s="399">
        <v>0</v>
      </c>
      <c r="BI78" s="399">
        <v>0.47</v>
      </c>
      <c r="BJ78" s="399">
        <v>2.23</v>
      </c>
      <c r="BK78" s="399">
        <v>85782.48</v>
      </c>
      <c r="BL78" s="399">
        <v>946</v>
      </c>
      <c r="BM78" s="399"/>
      <c r="BN78" s="399"/>
      <c r="BO78" s="399"/>
      <c r="BP78" s="399"/>
      <c r="BQ78" s="399"/>
      <c r="BR78" s="399">
        <v>35298.983499999988</v>
      </c>
      <c r="BS78" s="399"/>
      <c r="BT78" s="399"/>
      <c r="BU78" s="399"/>
      <c r="BV78" s="399">
        <v>154481.0251927209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258853.93199999997</v>
      </c>
      <c r="CJ78" s="399">
        <v>-33212.857000000018</v>
      </c>
      <c r="CK78" s="399"/>
      <c r="CL78" s="399"/>
      <c r="CM78" s="399"/>
      <c r="CN78" s="399"/>
      <c r="CO78" s="399">
        <v>-43862.698900000018</v>
      </c>
      <c r="CP78" s="399">
        <v>6121.0448999999871</v>
      </c>
      <c r="CQ78" s="399"/>
      <c r="CR78" s="399">
        <v>11812.93298655242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-366.88513843253168</v>
      </c>
      <c r="DA78" s="399">
        <v>0</v>
      </c>
      <c r="DB78" s="399">
        <v>0</v>
      </c>
      <c r="DC78" s="399">
        <v>6118.8631562357477</v>
      </c>
      <c r="DD78" s="399">
        <v>0</v>
      </c>
      <c r="DE78" s="399">
        <v>0</v>
      </c>
      <c r="DF78" s="399">
        <v>0</v>
      </c>
      <c r="DG78" s="399">
        <v>509.97682816390443</v>
      </c>
      <c r="DH78" s="399">
        <v>0</v>
      </c>
      <c r="DI78" s="399">
        <v>4846.5081125874494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653.63541257803172</v>
      </c>
      <c r="DP78" s="399">
        <v>50.834615419821432</v>
      </c>
      <c r="DQ78" s="399">
        <v>0</v>
      </c>
      <c r="DR78" s="399">
        <v>0</v>
      </c>
      <c r="DS78" s="399"/>
      <c r="DT78" s="399"/>
      <c r="DU78" s="399"/>
      <c r="DV78" s="399">
        <v>95860.356037981532</v>
      </c>
      <c r="DW78" s="399">
        <v>0</v>
      </c>
      <c r="DX78" s="399">
        <v>0</v>
      </c>
      <c r="DY78" s="399">
        <v>-43862.698900000018</v>
      </c>
      <c r="DZ78" s="399">
        <v>6121.044899999979</v>
      </c>
      <c r="EA78" s="399">
        <v>0</v>
      </c>
      <c r="EB78" s="399">
        <v>0</v>
      </c>
      <c r="EC78" s="399">
        <v>-49558.465165345107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232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2330</v>
      </c>
      <c r="C79" s="399" t="s">
        <v>2328</v>
      </c>
      <c r="D79" s="399" t="s">
        <v>2335</v>
      </c>
      <c r="E79" s="399" t="s">
        <v>894</v>
      </c>
      <c r="F79" s="399" t="s">
        <v>1239</v>
      </c>
      <c r="G79" s="399" t="s">
        <v>1239</v>
      </c>
      <c r="H79" s="399" t="s">
        <v>1239</v>
      </c>
      <c r="I79" s="399" t="s">
        <v>1239</v>
      </c>
      <c r="J79" s="399" t="s">
        <v>2326</v>
      </c>
      <c r="K79" s="788">
        <v>44531</v>
      </c>
      <c r="L79" s="399">
        <v>0</v>
      </c>
      <c r="M79" s="399">
        <v>0</v>
      </c>
      <c r="N79" s="399">
        <v>15.506</v>
      </c>
      <c r="O79" s="399">
        <v>15.506</v>
      </c>
      <c r="P79" s="399">
        <v>15.506</v>
      </c>
      <c r="Q79" s="399">
        <v>15.506</v>
      </c>
      <c r="R79" s="399"/>
      <c r="S79" s="399">
        <v>395.23</v>
      </c>
      <c r="T79" s="399">
        <v>297.72000000000003</v>
      </c>
      <c r="U79" s="399"/>
      <c r="V79" s="399">
        <v>10744.882700000002</v>
      </c>
      <c r="W79" s="399">
        <v>10744.882700000002</v>
      </c>
      <c r="X79" s="399">
        <v>9523.0099000000009</v>
      </c>
      <c r="Y79" s="399">
        <v>0</v>
      </c>
      <c r="Z79" s="399">
        <v>939.84375367838322</v>
      </c>
      <c r="AA79" s="399">
        <v>0</v>
      </c>
      <c r="AB79" s="399">
        <v>0</v>
      </c>
      <c r="AC79" s="399">
        <v>0</v>
      </c>
      <c r="AD79" s="399">
        <v>1541.257684254595</v>
      </c>
      <c r="AE79" s="399">
        <v>3103.445377383975</v>
      </c>
      <c r="AF79" s="399">
        <v>4616.5061262726776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145.30498010533637</v>
      </c>
      <c r="AM79" s="399"/>
      <c r="AN79" s="399">
        <v>13.806339835786613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384.76283769748738</v>
      </c>
      <c r="BH79" s="399">
        <v>0</v>
      </c>
      <c r="BI79" s="399">
        <v>0</v>
      </c>
      <c r="BJ79" s="399">
        <v>0</v>
      </c>
      <c r="BK79" s="399">
        <v>9164.9599999999991</v>
      </c>
      <c r="BL79" s="399">
        <v>19</v>
      </c>
      <c r="BM79" s="399"/>
      <c r="BN79" s="399"/>
      <c r="BO79" s="399"/>
      <c r="BP79" s="399"/>
      <c r="BQ79" s="399"/>
      <c r="BR79" s="399">
        <v>1142.7921999999999</v>
      </c>
      <c r="BS79" s="399"/>
      <c r="BT79" s="399"/>
      <c r="BU79" s="399"/>
      <c r="BV79" s="399">
        <v>5001.2689639701648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8382.3794999999991</v>
      </c>
      <c r="CJ79" s="399">
        <v>-1073.2093000000023</v>
      </c>
      <c r="CK79" s="399"/>
      <c r="CL79" s="399"/>
      <c r="CM79" s="399"/>
      <c r="CN79" s="399"/>
      <c r="CO79" s="399">
        <v>-1420.0394800000006</v>
      </c>
      <c r="CP79" s="399">
        <v>198.16667999999959</v>
      </c>
      <c r="CQ79" s="399"/>
      <c r="CR79" s="399">
        <v>382.43955880924659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-11.877777571034585</v>
      </c>
      <c r="DA79" s="399">
        <v>0</v>
      </c>
      <c r="DB79" s="399">
        <v>0</v>
      </c>
      <c r="DC79" s="399">
        <v>198.09604681147903</v>
      </c>
      <c r="DD79" s="399">
        <v>0</v>
      </c>
      <c r="DE79" s="399">
        <v>0</v>
      </c>
      <c r="DF79" s="399">
        <v>0</v>
      </c>
      <c r="DG79" s="399">
        <v>16.510320797380814</v>
      </c>
      <c r="DH79" s="399">
        <v>0</v>
      </c>
      <c r="DI79" s="399">
        <v>156.90399890131846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21.161217040087195</v>
      </c>
      <c r="DP79" s="399">
        <v>1.6457528300148248</v>
      </c>
      <c r="DQ79" s="399">
        <v>0</v>
      </c>
      <c r="DR79" s="399">
        <v>0</v>
      </c>
      <c r="DS79" s="399"/>
      <c r="DT79" s="399"/>
      <c r="DU79" s="399"/>
      <c r="DV79" s="399">
        <v>3103.445377383975</v>
      </c>
      <c r="DW79" s="399">
        <v>0</v>
      </c>
      <c r="DX79" s="399">
        <v>0</v>
      </c>
      <c r="DY79" s="399">
        <v>-1420.0394800000004</v>
      </c>
      <c r="DZ79" s="399">
        <v>198.16667999999936</v>
      </c>
      <c r="EA79" s="399">
        <v>0</v>
      </c>
      <c r="EB79" s="399">
        <v>0</v>
      </c>
      <c r="EC79" s="399">
        <v>-1604.4379134863218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232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2328</v>
      </c>
      <c r="D80" s="399" t="s">
        <v>1824</v>
      </c>
      <c r="E80" s="399" t="s">
        <v>2336</v>
      </c>
      <c r="F80" s="399" t="s">
        <v>1239</v>
      </c>
      <c r="G80" s="399" t="s">
        <v>1239</v>
      </c>
      <c r="H80" s="399" t="s">
        <v>1239</v>
      </c>
      <c r="I80" s="399" t="s">
        <v>1239</v>
      </c>
      <c r="J80" s="399" t="s">
        <v>2326</v>
      </c>
      <c r="K80" s="788">
        <v>44531</v>
      </c>
      <c r="L80" s="399">
        <v>0</v>
      </c>
      <c r="M80" s="399">
        <v>0</v>
      </c>
      <c r="N80" s="399">
        <v>0.85299999999999998</v>
      </c>
      <c r="O80" s="399">
        <v>0.85299999999999998</v>
      </c>
      <c r="P80" s="399">
        <v>0.85299999999999998</v>
      </c>
      <c r="Q80" s="399">
        <v>0.85299999999999998</v>
      </c>
      <c r="R80" s="399"/>
      <c r="S80" s="399">
        <v>395.23</v>
      </c>
      <c r="T80" s="399">
        <v>297.72000000000003</v>
      </c>
      <c r="U80" s="399"/>
      <c r="V80" s="399">
        <v>591.08635000000004</v>
      </c>
      <c r="W80" s="399">
        <v>591.08635000000004</v>
      </c>
      <c r="X80" s="399">
        <v>523.86995000000002</v>
      </c>
      <c r="Y80" s="399">
        <v>0</v>
      </c>
      <c r="Z80" s="399">
        <v>51.701710427425567</v>
      </c>
      <c r="AA80" s="399">
        <v>0</v>
      </c>
      <c r="AB80" s="399">
        <v>0</v>
      </c>
      <c r="AC80" s="399">
        <v>0</v>
      </c>
      <c r="AD80" s="399">
        <v>84.786070209542729</v>
      </c>
      <c r="AE80" s="399">
        <v>170.72352037330907</v>
      </c>
      <c r="AF80" s="399">
        <v>253.95845000068323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7.9933669566523866</v>
      </c>
      <c r="AM80" s="399"/>
      <c r="AN80" s="399">
        <v>0.75950005674745136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21.166174419963674</v>
      </c>
      <c r="BH80" s="399">
        <v>0</v>
      </c>
      <c r="BI80" s="399">
        <v>0</v>
      </c>
      <c r="BJ80" s="399">
        <v>0</v>
      </c>
      <c r="BK80" s="399">
        <v>209.44</v>
      </c>
      <c r="BL80" s="399">
        <v>17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275.12462442064691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522.02749999999992</v>
      </c>
      <c r="CJ80" s="399">
        <v>-69.088850000000093</v>
      </c>
      <c r="CK80" s="399"/>
      <c r="CL80" s="399"/>
      <c r="CM80" s="399"/>
      <c r="CN80" s="399"/>
      <c r="CO80" s="399">
        <v>-78.117740000000026</v>
      </c>
      <c r="CP80" s="399">
        <v>10.901339999999976</v>
      </c>
      <c r="CQ80" s="399"/>
      <c r="CR80" s="399">
        <v>21.038368609846884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-0.65340798839756076</v>
      </c>
      <c r="DA80" s="399">
        <v>0</v>
      </c>
      <c r="DB80" s="399">
        <v>0</v>
      </c>
      <c r="DC80" s="399">
        <v>10.897454400244499</v>
      </c>
      <c r="DD80" s="399">
        <v>0</v>
      </c>
      <c r="DE80" s="399">
        <v>0</v>
      </c>
      <c r="DF80" s="399">
        <v>0</v>
      </c>
      <c r="DG80" s="399">
        <v>0.90824865472499638</v>
      </c>
      <c r="DH80" s="399">
        <v>0</v>
      </c>
      <c r="DI80" s="399">
        <v>8.6314401562507896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1.1640989381655098</v>
      </c>
      <c r="DP80" s="399">
        <v>9.0534448858676897E-2</v>
      </c>
      <c r="DQ80" s="399">
        <v>0</v>
      </c>
      <c r="DR80" s="399">
        <v>0</v>
      </c>
      <c r="DS80" s="399"/>
      <c r="DT80" s="399"/>
      <c r="DU80" s="399"/>
      <c r="DV80" s="399">
        <v>170.72352037330907</v>
      </c>
      <c r="DW80" s="399">
        <v>0</v>
      </c>
      <c r="DX80" s="399">
        <v>0</v>
      </c>
      <c r="DY80" s="399">
        <v>-78.117740000000026</v>
      </c>
      <c r="DZ80" s="399">
        <v>10.901339999999976</v>
      </c>
      <c r="EA80" s="399">
        <v>0</v>
      </c>
      <c r="EB80" s="399">
        <v>0</v>
      </c>
      <c r="EC80" s="399">
        <v>-88.261675493604571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232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2328</v>
      </c>
      <c r="D81" s="399" t="s">
        <v>2337</v>
      </c>
      <c r="E81" s="399" t="s">
        <v>2338</v>
      </c>
      <c r="F81" s="399" t="s">
        <v>2339</v>
      </c>
      <c r="G81" s="399" t="s">
        <v>1239</v>
      </c>
      <c r="H81" s="399" t="s">
        <v>1239</v>
      </c>
      <c r="I81" s="399" t="s">
        <v>1239</v>
      </c>
      <c r="J81" s="399" t="s">
        <v>2326</v>
      </c>
      <c r="K81" s="788">
        <v>44531</v>
      </c>
      <c r="L81" s="399">
        <v>0</v>
      </c>
      <c r="M81" s="399">
        <v>0</v>
      </c>
      <c r="N81" s="399">
        <v>21.094000000000001</v>
      </c>
      <c r="O81" s="399">
        <v>21.094000000000001</v>
      </c>
      <c r="P81" s="399">
        <v>21.094000000000001</v>
      </c>
      <c r="Q81" s="399">
        <v>21.094000000000001</v>
      </c>
      <c r="R81" s="399"/>
      <c r="S81" s="399">
        <v>217.38</v>
      </c>
      <c r="T81" s="399">
        <v>163.75</v>
      </c>
      <c r="U81" s="399"/>
      <c r="V81" s="399">
        <v>8039.5562200000004</v>
      </c>
      <c r="W81" s="399">
        <v>8039.5562200000004</v>
      </c>
      <c r="X81" s="399">
        <v>7125.1313200000004</v>
      </c>
      <c r="Y81" s="399">
        <v>0</v>
      </c>
      <c r="Z81" s="399">
        <v>703.19781226947646</v>
      </c>
      <c r="AA81" s="399">
        <v>0</v>
      </c>
      <c r="AB81" s="399">
        <v>0</v>
      </c>
      <c r="AC81" s="399">
        <v>0</v>
      </c>
      <c r="AD81" s="399">
        <v>1153.1800126026399</v>
      </c>
      <c r="AE81" s="399">
        <v>2322.0200074033091</v>
      </c>
      <c r="AF81" s="399">
        <v>3454.1028714805689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108.71822440913708</v>
      </c>
      <c r="AM81" s="399"/>
      <c r="AN81" s="399">
        <v>10.330002120008086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287.88230453469242</v>
      </c>
      <c r="BH81" s="399">
        <v>0</v>
      </c>
      <c r="BI81" s="399">
        <v>0</v>
      </c>
      <c r="BJ81" s="399">
        <v>0</v>
      </c>
      <c r="BK81" s="399">
        <v>3373.48</v>
      </c>
      <c r="BL81" s="399">
        <v>1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3741.9851760152615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7123.7802000000001</v>
      </c>
      <c r="CJ81" s="399">
        <v>-915.8060200000009</v>
      </c>
      <c r="CK81" s="399"/>
      <c r="CL81" s="399"/>
      <c r="CM81" s="399"/>
      <c r="CN81" s="399"/>
      <c r="CO81" s="399">
        <v>-1062.5047800000002</v>
      </c>
      <c r="CP81" s="399">
        <v>148.07988000000023</v>
      </c>
      <c r="CQ81" s="399"/>
      <c r="CR81" s="399">
        <v>286.14401066924438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-8.8870380527450834</v>
      </c>
      <c r="DA81" s="399">
        <v>0</v>
      </c>
      <c r="DB81" s="399">
        <v>0</v>
      </c>
      <c r="DC81" s="399">
        <v>148.216877743635</v>
      </c>
      <c r="DD81" s="399">
        <v>0</v>
      </c>
      <c r="DE81" s="399">
        <v>0</v>
      </c>
      <c r="DF81" s="399">
        <v>0</v>
      </c>
      <c r="DG81" s="399">
        <v>12.353139997096207</v>
      </c>
      <c r="DH81" s="399">
        <v>0</v>
      </c>
      <c r="DI81" s="399">
        <v>117.39669315448316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15.832973799431684</v>
      </c>
      <c r="DP81" s="399">
        <v>1.231364027343167</v>
      </c>
      <c r="DQ81" s="399">
        <v>0</v>
      </c>
      <c r="DR81" s="399">
        <v>0</v>
      </c>
      <c r="DS81" s="399"/>
      <c r="DT81" s="399"/>
      <c r="DU81" s="399"/>
      <c r="DV81" s="399">
        <v>2322.0200074033091</v>
      </c>
      <c r="DW81" s="399">
        <v>0</v>
      </c>
      <c r="DX81" s="399">
        <v>0</v>
      </c>
      <c r="DY81" s="399">
        <v>-1062.5047800000007</v>
      </c>
      <c r="DZ81" s="399">
        <v>148.07988000000023</v>
      </c>
      <c r="EA81" s="399">
        <v>0</v>
      </c>
      <c r="EB81" s="399">
        <v>0</v>
      </c>
      <c r="EC81" s="399">
        <v>-1200.4519115757964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232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2328</v>
      </c>
      <c r="D82" s="399" t="s">
        <v>1824</v>
      </c>
      <c r="E82" s="399" t="s">
        <v>921</v>
      </c>
      <c r="F82" s="399" t="s">
        <v>2327</v>
      </c>
      <c r="G82" s="399" t="s">
        <v>1239</v>
      </c>
      <c r="H82" s="399" t="s">
        <v>1239</v>
      </c>
      <c r="I82" s="399" t="s">
        <v>1239</v>
      </c>
      <c r="J82" s="399" t="s">
        <v>2326</v>
      </c>
      <c r="K82" s="788">
        <v>44531</v>
      </c>
      <c r="L82" s="399">
        <v>0</v>
      </c>
      <c r="M82" s="399">
        <v>0</v>
      </c>
      <c r="N82" s="399">
        <v>0.78700000000000003</v>
      </c>
      <c r="O82" s="399">
        <v>0.73977999999999999</v>
      </c>
      <c r="P82" s="399">
        <v>0.78700000000000003</v>
      </c>
      <c r="Q82" s="399">
        <v>0.73977999999999999</v>
      </c>
      <c r="R82" s="399"/>
      <c r="S82" s="399">
        <v>395.23</v>
      </c>
      <c r="T82" s="399">
        <v>297.72000000000003</v>
      </c>
      <c r="U82" s="399"/>
      <c r="V82" s="399">
        <v>545.35165000000006</v>
      </c>
      <c r="W82" s="399">
        <v>545.35165000000006</v>
      </c>
      <c r="X82" s="399">
        <v>483.33605</v>
      </c>
      <c r="Y82" s="399">
        <v>0</v>
      </c>
      <c r="Z82" s="399">
        <v>47.701343618269547</v>
      </c>
      <c r="AA82" s="399">
        <v>0</v>
      </c>
      <c r="AB82" s="399">
        <v>0</v>
      </c>
      <c r="AC82" s="399">
        <v>0</v>
      </c>
      <c r="AD82" s="399">
        <v>78.225834999894644</v>
      </c>
      <c r="AE82" s="399">
        <v>157.51396311113044</v>
      </c>
      <c r="AF82" s="399">
        <v>234.30867544025523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7.3748883879078884</v>
      </c>
      <c r="AM82" s="399"/>
      <c r="AN82" s="399">
        <v>0.70073451894518668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19.528463386297084</v>
      </c>
      <c r="BH82" s="399">
        <v>0</v>
      </c>
      <c r="BI82" s="399">
        <v>0</v>
      </c>
      <c r="BJ82" s="399">
        <v>0</v>
      </c>
      <c r="BK82" s="399">
        <v>193.37</v>
      </c>
      <c r="BL82" s="399">
        <v>2</v>
      </c>
      <c r="BM82" s="399"/>
      <c r="BN82" s="399"/>
      <c r="BO82" s="399"/>
      <c r="BP82" s="399"/>
      <c r="BQ82" s="399">
        <v>29.000163000000022</v>
      </c>
      <c r="BR82" s="399"/>
      <c r="BS82" s="399"/>
      <c r="BT82" s="399"/>
      <c r="BU82" s="399"/>
      <c r="BV82" s="399">
        <v>253.83713882655232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454.471</v>
      </c>
      <c r="CJ82" s="399">
        <v>-58.189550999999938</v>
      </c>
      <c r="CK82" s="399"/>
      <c r="CL82" s="399"/>
      <c r="CM82" s="399"/>
      <c r="CN82" s="399"/>
      <c r="CO82" s="399">
        <v>-72.07346000000004</v>
      </c>
      <c r="CP82" s="399">
        <v>10.057859999999978</v>
      </c>
      <c r="CQ82" s="399"/>
      <c r="CR82" s="399">
        <v>19.410546419636034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-0.6028512155555461</v>
      </c>
      <c r="DA82" s="399">
        <v>0</v>
      </c>
      <c r="DB82" s="399">
        <v>0</v>
      </c>
      <c r="DC82" s="399">
        <v>10.054275044539764</v>
      </c>
      <c r="DD82" s="399">
        <v>0</v>
      </c>
      <c r="DE82" s="399">
        <v>0</v>
      </c>
      <c r="DF82" s="399">
        <v>0</v>
      </c>
      <c r="DG82" s="399">
        <v>0.83797384673924213</v>
      </c>
      <c r="DH82" s="399">
        <v>0</v>
      </c>
      <c r="DI82" s="399">
        <v>7.9635913282173192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1.0740279769475451</v>
      </c>
      <c r="DP82" s="399">
        <v>8.3529438747689033E-2</v>
      </c>
      <c r="DQ82" s="399">
        <v>0</v>
      </c>
      <c r="DR82" s="399">
        <v>0</v>
      </c>
      <c r="DS82" s="399"/>
      <c r="DT82" s="399"/>
      <c r="DU82" s="399"/>
      <c r="DV82" s="399">
        <v>157.51396311113044</v>
      </c>
      <c r="DW82" s="399">
        <v>0</v>
      </c>
      <c r="DX82" s="399">
        <v>0</v>
      </c>
      <c r="DY82" s="399">
        <v>-72.07346000000004</v>
      </c>
      <c r="DZ82" s="399">
        <v>10.057859999999977</v>
      </c>
      <c r="EA82" s="399">
        <v>0</v>
      </c>
      <c r="EB82" s="399">
        <v>0</v>
      </c>
      <c r="EC82" s="399">
        <v>-81.432518890347964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232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7" customFormat="1">
      <c r="A83" s="399">
        <v>81</v>
      </c>
      <c r="B83" s="399" t="s">
        <v>956</v>
      </c>
      <c r="C83" s="399" t="s">
        <v>2328</v>
      </c>
      <c r="D83" s="399" t="s">
        <v>2335</v>
      </c>
      <c r="E83" s="399" t="s">
        <v>894</v>
      </c>
      <c r="F83" s="399" t="s">
        <v>2367</v>
      </c>
      <c r="G83" s="399" t="s">
        <v>2368</v>
      </c>
      <c r="H83" s="399" t="s">
        <v>1239</v>
      </c>
      <c r="I83" s="399" t="s">
        <v>1239</v>
      </c>
      <c r="J83" s="399" t="s">
        <v>2326</v>
      </c>
      <c r="K83" s="788">
        <v>44531</v>
      </c>
      <c r="L83" s="399">
        <v>0</v>
      </c>
      <c r="M83" s="399">
        <v>0</v>
      </c>
      <c r="N83" s="399">
        <v>0</v>
      </c>
      <c r="O83" s="399">
        <v>0</v>
      </c>
      <c r="P83" s="399">
        <v>0</v>
      </c>
      <c r="Q83" s="399">
        <v>0</v>
      </c>
      <c r="R83" s="399"/>
      <c r="S83" s="399"/>
      <c r="T83" s="399"/>
      <c r="U83" s="399"/>
      <c r="V83" s="399"/>
      <c r="W83" s="399"/>
      <c r="X83" s="399"/>
      <c r="Y83" s="399"/>
      <c r="Z83" s="399"/>
      <c r="AA83" s="399">
        <v>0</v>
      </c>
      <c r="AB83" s="399"/>
      <c r="AC83" s="399"/>
      <c r="AD83" s="399"/>
      <c r="AE83" s="399"/>
      <c r="AF83" s="399"/>
      <c r="AG83" s="399"/>
      <c r="AH83" s="399"/>
      <c r="AI83" s="399"/>
      <c r="AJ83" s="399"/>
      <c r="AK83" s="399"/>
      <c r="AL83" s="399"/>
      <c r="AM83" s="399"/>
      <c r="AN83" s="399"/>
      <c r="AO83" s="399"/>
      <c r="AP83" s="399"/>
      <c r="AQ83" s="399"/>
      <c r="AR83" s="399"/>
      <c r="AS83" s="399"/>
      <c r="AT83" s="399"/>
      <c r="AU83" s="399"/>
      <c r="AV83" s="399"/>
      <c r="AW83" s="399"/>
      <c r="AX83" s="399"/>
      <c r="AY83" s="399"/>
      <c r="AZ83" s="399">
        <v>0</v>
      </c>
      <c r="BA83" s="399"/>
      <c r="BB83" s="399"/>
      <c r="BC83" s="399"/>
      <c r="BD83" s="399"/>
      <c r="BE83" s="399"/>
      <c r="BF83" s="399"/>
      <c r="BG83" s="399"/>
      <c r="BH83" s="399"/>
      <c r="BI83" s="399">
        <v>0</v>
      </c>
      <c r="BJ83" s="399">
        <v>0</v>
      </c>
      <c r="BK83" s="399">
        <v>10.050000000000001</v>
      </c>
      <c r="BL83" s="399">
        <v>1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/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/>
      <c r="CJ83" s="399">
        <v>-0.03</v>
      </c>
      <c r="CK83" s="399"/>
      <c r="CL83" s="399"/>
      <c r="CM83" s="399"/>
      <c r="CN83" s="399"/>
      <c r="CO83" s="399">
        <v>0</v>
      </c>
      <c r="CP83" s="399">
        <v>0</v>
      </c>
      <c r="CQ83" s="399"/>
      <c r="CR83" s="399"/>
      <c r="CS83" s="399"/>
      <c r="CT83" s="399"/>
      <c r="CU83" s="399"/>
      <c r="CV83" s="399"/>
      <c r="CW83" s="399"/>
      <c r="CX83" s="399"/>
      <c r="CY83" s="399"/>
      <c r="CZ83" s="399"/>
      <c r="DA83" s="399"/>
      <c r="DB83" s="399"/>
      <c r="DC83" s="399"/>
      <c r="DD83" s="399"/>
      <c r="DE83" s="399"/>
      <c r="DF83" s="399"/>
      <c r="DG83" s="399"/>
      <c r="DH83" s="399"/>
      <c r="DI83" s="399"/>
      <c r="DJ83" s="399"/>
      <c r="DK83" s="399">
        <v>0</v>
      </c>
      <c r="DL83" s="399"/>
      <c r="DM83" s="399"/>
      <c r="DN83" s="399"/>
      <c r="DO83" s="399"/>
      <c r="DP83" s="399"/>
      <c r="DQ83" s="399"/>
      <c r="DR83" s="399"/>
      <c r="DS83" s="399"/>
      <c r="DT83" s="399"/>
      <c r="DU83" s="399"/>
      <c r="DV83" s="399"/>
      <c r="DW83" s="399"/>
      <c r="DX83" s="399"/>
      <c r="DY83" s="399"/>
      <c r="DZ83" s="399"/>
      <c r="EA83" s="399"/>
      <c r="EB83" s="399"/>
      <c r="EC83" s="399"/>
      <c r="ED83" s="399"/>
      <c r="EE83" s="399"/>
      <c r="EF83" s="399"/>
      <c r="EG83" s="399"/>
      <c r="EH83" s="399"/>
      <c r="EI83" s="399"/>
      <c r="EJ83" s="399"/>
      <c r="EK83" s="399"/>
      <c r="EL83" s="399"/>
      <c r="EM83" s="399"/>
      <c r="EN83" s="399"/>
      <c r="EO83" s="399"/>
      <c r="EP83" s="399"/>
      <c r="EQ83" s="399"/>
      <c r="ER83" s="399"/>
      <c r="ES83" s="399"/>
      <c r="ET83" s="399"/>
      <c r="EU83" s="399"/>
      <c r="EV83" s="399">
        <v>232</v>
      </c>
      <c r="EW83" s="399"/>
      <c r="EX83" s="399"/>
      <c r="EY83" s="399"/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7" customFormat="1">
      <c r="A84" s="399">
        <v>82</v>
      </c>
      <c r="B84" s="399" t="s">
        <v>956</v>
      </c>
      <c r="C84" s="399" t="s">
        <v>2328</v>
      </c>
      <c r="D84" s="399" t="s">
        <v>2335</v>
      </c>
      <c r="E84" s="399" t="s">
        <v>894</v>
      </c>
      <c r="F84" s="399" t="s">
        <v>2367</v>
      </c>
      <c r="G84" s="399" t="s">
        <v>2368</v>
      </c>
      <c r="H84" s="399" t="s">
        <v>1239</v>
      </c>
      <c r="I84" s="399" t="s">
        <v>1239</v>
      </c>
      <c r="J84" s="399" t="s">
        <v>2326</v>
      </c>
      <c r="K84" s="788">
        <v>44531</v>
      </c>
      <c r="L84" s="399">
        <v>0</v>
      </c>
      <c r="M84" s="399">
        <v>0</v>
      </c>
      <c r="N84" s="399">
        <v>0.1</v>
      </c>
      <c r="O84" s="399">
        <v>0.1</v>
      </c>
      <c r="P84" s="399">
        <v>0.1</v>
      </c>
      <c r="Q84" s="399">
        <v>0.1</v>
      </c>
      <c r="R84" s="399"/>
      <c r="S84" s="399">
        <v>395.23</v>
      </c>
      <c r="T84" s="399">
        <v>297.72000000000003</v>
      </c>
      <c r="U84" s="399"/>
      <c r="V84" s="399">
        <v>69.295000000000016</v>
      </c>
      <c r="W84" s="399">
        <v>69.295000000000016</v>
      </c>
      <c r="X84" s="399">
        <v>61.414999999999999</v>
      </c>
      <c r="Y84" s="399">
        <v>0</v>
      </c>
      <c r="Z84" s="399">
        <v>6.0611618320545801</v>
      </c>
      <c r="AA84" s="399">
        <v>0</v>
      </c>
      <c r="AB84" s="399">
        <v>0</v>
      </c>
      <c r="AC84" s="399">
        <v>0</v>
      </c>
      <c r="AD84" s="399">
        <v>9.9397503176486204</v>
      </c>
      <c r="AE84" s="399">
        <v>20.014480700270703</v>
      </c>
      <c r="AF84" s="399">
        <v>29.772385697618201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0.937088740521968</v>
      </c>
      <c r="AM84" s="399"/>
      <c r="AN84" s="399">
        <v>8.9038693639794997E-2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2.4813803540402901</v>
      </c>
      <c r="BH84" s="399">
        <v>0</v>
      </c>
      <c r="BI84" s="399">
        <v>0</v>
      </c>
      <c r="BJ84" s="399">
        <v>0</v>
      </c>
      <c r="BK84" s="399">
        <v>0</v>
      </c>
      <c r="BL84" s="399">
        <v>0</v>
      </c>
      <c r="BM84" s="399"/>
      <c r="BN84" s="399"/>
      <c r="BO84" s="399"/>
      <c r="BP84" s="399"/>
      <c r="BQ84" s="399"/>
      <c r="BR84" s="399">
        <v>8.5849999999999973</v>
      </c>
      <c r="BS84" s="399"/>
      <c r="BT84" s="399"/>
      <c r="BU84" s="399"/>
      <c r="BV84" s="399">
        <v>32.253766051658488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52.83</v>
      </c>
      <c r="CJ84" s="399">
        <v>-6.5990000000000038</v>
      </c>
      <c r="CK84" s="399"/>
      <c r="CL84" s="399"/>
      <c r="CM84" s="399"/>
      <c r="CN84" s="399"/>
      <c r="CO84" s="399">
        <v>-9.1580000000000048</v>
      </c>
      <c r="CP84" s="399">
        <v>1.2779999999999974</v>
      </c>
      <c r="CQ84" s="399"/>
      <c r="CR84" s="399">
        <v>2.4663972578952951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-7.6601170972748989E-2</v>
      </c>
      <c r="DA84" s="399">
        <v>0</v>
      </c>
      <c r="DB84" s="399">
        <v>0</v>
      </c>
      <c r="DC84" s="399">
        <v>1.2775444783405021</v>
      </c>
      <c r="DD84" s="399">
        <v>0</v>
      </c>
      <c r="DE84" s="399">
        <v>0</v>
      </c>
      <c r="DF84" s="399">
        <v>0</v>
      </c>
      <c r="DG84" s="399">
        <v>0.10647698179660026</v>
      </c>
      <c r="DH84" s="399">
        <v>0</v>
      </c>
      <c r="DI84" s="399">
        <v>1.0118921636870795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0.13647115336055216</v>
      </c>
      <c r="DP84" s="399">
        <v>1.0613651683315017E-2</v>
      </c>
      <c r="DQ84" s="399">
        <v>0</v>
      </c>
      <c r="DR84" s="399">
        <v>0</v>
      </c>
      <c r="DS84" s="399"/>
      <c r="DT84" s="399"/>
      <c r="DU84" s="399"/>
      <c r="DV84" s="399">
        <v>20.014480700270703</v>
      </c>
      <c r="DW84" s="399">
        <v>0</v>
      </c>
      <c r="DX84" s="399">
        <v>0</v>
      </c>
      <c r="DY84" s="399">
        <v>-9.1580000000000048</v>
      </c>
      <c r="DZ84" s="399">
        <v>1.2779999999999951</v>
      </c>
      <c r="EA84" s="399">
        <v>0</v>
      </c>
      <c r="EB84" s="399">
        <v>0</v>
      </c>
      <c r="EC84" s="399">
        <v>-10.347206974631252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232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7" customFormat="1">
      <c r="A85" s="399">
        <v>84</v>
      </c>
      <c r="B85" s="399" t="s">
        <v>956</v>
      </c>
      <c r="C85" s="399" t="s">
        <v>2328</v>
      </c>
      <c r="D85" s="399" t="s">
        <v>1821</v>
      </c>
      <c r="E85" s="399" t="s">
        <v>889</v>
      </c>
      <c r="F85" s="399" t="s">
        <v>889</v>
      </c>
      <c r="G85" s="399" t="s">
        <v>1239</v>
      </c>
      <c r="H85" s="399" t="s">
        <v>1239</v>
      </c>
      <c r="I85" s="399" t="s">
        <v>1239</v>
      </c>
      <c r="J85" s="399" t="s">
        <v>2326</v>
      </c>
      <c r="K85" s="788">
        <v>44562</v>
      </c>
      <c r="L85" s="399">
        <v>0</v>
      </c>
      <c r="M85" s="399">
        <v>0</v>
      </c>
      <c r="N85" s="399">
        <v>41.52</v>
      </c>
      <c r="O85" s="399">
        <v>41.52</v>
      </c>
      <c r="P85" s="399">
        <v>41.52</v>
      </c>
      <c r="Q85" s="399">
        <v>41.52</v>
      </c>
      <c r="R85" s="399"/>
      <c r="S85" s="399">
        <v>395.23</v>
      </c>
      <c r="T85" s="399">
        <v>297.72000000000003</v>
      </c>
      <c r="U85" s="399"/>
      <c r="V85" s="399">
        <v>28771.284000000007</v>
      </c>
      <c r="W85" s="399">
        <v>28771.284000000007</v>
      </c>
      <c r="X85" s="399">
        <v>25499.508000000002</v>
      </c>
      <c r="Y85" s="399">
        <v>0</v>
      </c>
      <c r="Z85" s="399">
        <v>2516.594392669062</v>
      </c>
      <c r="AA85" s="399">
        <v>0</v>
      </c>
      <c r="AB85" s="399">
        <v>0</v>
      </c>
      <c r="AC85" s="399">
        <v>0</v>
      </c>
      <c r="AD85" s="399">
        <v>4126.9843318877074</v>
      </c>
      <c r="AE85" s="399">
        <v>8310.0123867523962</v>
      </c>
      <c r="AF85" s="399">
        <v>12361.494541651076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389.07924506472114</v>
      </c>
      <c r="AM85" s="399"/>
      <c r="AN85" s="399">
        <v>36.968865599242882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1030.2691229975285</v>
      </c>
      <c r="BH85" s="399">
        <v>0</v>
      </c>
      <c r="BI85" s="399">
        <v>0</v>
      </c>
      <c r="BJ85" s="399">
        <v>0</v>
      </c>
      <c r="BK85" s="399">
        <v>6299.71</v>
      </c>
      <c r="BL85" s="399">
        <v>262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13391.763664648604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25499.508000000002</v>
      </c>
      <c r="CJ85" s="399">
        <v>-3271.8060000000005</v>
      </c>
      <c r="CK85" s="399"/>
      <c r="CL85" s="399"/>
      <c r="CM85" s="399"/>
      <c r="CN85" s="399"/>
      <c r="CO85" s="399">
        <v>-3802.401600000002</v>
      </c>
      <c r="CP85" s="399">
        <v>530.62559999999894</v>
      </c>
      <c r="CQ85" s="399">
        <v>31</v>
      </c>
      <c r="CR85" s="399">
        <v>1024.0481414781316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-31.804806187885788</v>
      </c>
      <c r="DA85" s="399">
        <v>0</v>
      </c>
      <c r="DB85" s="399">
        <v>0</v>
      </c>
      <c r="DC85" s="399">
        <v>530.43646740697659</v>
      </c>
      <c r="DD85" s="399">
        <v>0</v>
      </c>
      <c r="DE85" s="399">
        <v>0</v>
      </c>
      <c r="DF85" s="399">
        <v>0</v>
      </c>
      <c r="DG85" s="399">
        <v>44.209242841948253</v>
      </c>
      <c r="DH85" s="399">
        <v>0</v>
      </c>
      <c r="DI85" s="399">
        <v>420.13762636287538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56.662822875301231</v>
      </c>
      <c r="DP85" s="399">
        <v>4.4067881789123931</v>
      </c>
      <c r="DQ85" s="399">
        <v>0</v>
      </c>
      <c r="DR85" s="399">
        <v>0</v>
      </c>
      <c r="DS85" s="399"/>
      <c r="DT85" s="399"/>
      <c r="DU85" s="399"/>
      <c r="DV85" s="399">
        <v>8310.0123867523962</v>
      </c>
      <c r="DW85" s="399">
        <v>0</v>
      </c>
      <c r="DX85" s="399">
        <v>0</v>
      </c>
      <c r="DY85" s="399">
        <v>-3802.4016000000029</v>
      </c>
      <c r="DZ85" s="399">
        <v>530.62559999999939</v>
      </c>
      <c r="EA85" s="399">
        <v>0</v>
      </c>
      <c r="EB85" s="399">
        <v>0</v>
      </c>
      <c r="EC85" s="399">
        <v>-4296.1603358668963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232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7" customFormat="1">
      <c r="A86" s="399">
        <v>85</v>
      </c>
      <c r="B86" s="399" t="s">
        <v>956</v>
      </c>
      <c r="C86" s="399" t="s">
        <v>2328</v>
      </c>
      <c r="D86" s="399" t="s">
        <v>1821</v>
      </c>
      <c r="E86" s="399" t="s">
        <v>889</v>
      </c>
      <c r="F86" s="399" t="s">
        <v>2331</v>
      </c>
      <c r="G86" s="399" t="s">
        <v>1239</v>
      </c>
      <c r="H86" s="399" t="s">
        <v>1239</v>
      </c>
      <c r="I86" s="399" t="s">
        <v>1239</v>
      </c>
      <c r="J86" s="399" t="s">
        <v>2326</v>
      </c>
      <c r="K86" s="788">
        <v>44562</v>
      </c>
      <c r="L86" s="399">
        <v>0</v>
      </c>
      <c r="M86" s="399">
        <v>0</v>
      </c>
      <c r="N86" s="399">
        <v>0.09</v>
      </c>
      <c r="O86" s="399">
        <v>0.09</v>
      </c>
      <c r="P86" s="399">
        <v>0.09</v>
      </c>
      <c r="Q86" s="399">
        <v>0.09</v>
      </c>
      <c r="R86" s="399"/>
      <c r="S86" s="399">
        <v>325.25</v>
      </c>
      <c r="T86" s="399">
        <v>297.72000000000003</v>
      </c>
      <c r="U86" s="399"/>
      <c r="V86" s="399">
        <v>56.067300000000003</v>
      </c>
      <c r="W86" s="399">
        <v>56.067300000000003</v>
      </c>
      <c r="X86" s="399">
        <v>47.941199999999995</v>
      </c>
      <c r="Y86" s="399">
        <v>0</v>
      </c>
      <c r="Z86" s="399">
        <v>0</v>
      </c>
      <c r="AA86" s="399">
        <v>0</v>
      </c>
      <c r="AB86" s="399">
        <v>0</v>
      </c>
      <c r="AC86" s="399">
        <v>0</v>
      </c>
      <c r="AD86" s="399">
        <v>8.9457752858837569</v>
      </c>
      <c r="AE86" s="399">
        <v>18.013032630243629</v>
      </c>
      <c r="AF86" s="399">
        <v>26.795147127856378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0</v>
      </c>
      <c r="AM86" s="399"/>
      <c r="AN86" s="399">
        <v>8.0134824275815489E-2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2.2332423186362611</v>
      </c>
      <c r="BH86" s="399">
        <v>0</v>
      </c>
      <c r="BI86" s="399">
        <v>0</v>
      </c>
      <c r="BJ86" s="399">
        <v>0</v>
      </c>
      <c r="BK86" s="399">
        <v>2.19</v>
      </c>
      <c r="BL86" s="399">
        <v>0</v>
      </c>
      <c r="BM86" s="399"/>
      <c r="BN86" s="399"/>
      <c r="BO86" s="399"/>
      <c r="BP86" s="399"/>
      <c r="BQ86" s="399"/>
      <c r="BR86" s="399"/>
      <c r="BS86" s="399"/>
      <c r="BT86" s="399">
        <v>31.162499999999998</v>
      </c>
      <c r="BU86" s="399"/>
      <c r="BV86" s="399">
        <v>29.028389446492639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16.778700000000001</v>
      </c>
      <c r="CJ86" s="399">
        <v>-2.8749000000000002</v>
      </c>
      <c r="CK86" s="399"/>
      <c r="CL86" s="399"/>
      <c r="CM86" s="399"/>
      <c r="CN86" s="399"/>
      <c r="CO86" s="399">
        <v>-9.2762999999999991</v>
      </c>
      <c r="CP86" s="399">
        <v>1.1501999999999974</v>
      </c>
      <c r="CQ86" s="399">
        <v>31</v>
      </c>
      <c r="CR86" s="399">
        <v>1.1862305467629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-6.8941053875473557E-2</v>
      </c>
      <c r="DA86" s="399">
        <v>0</v>
      </c>
      <c r="DB86" s="399">
        <v>0</v>
      </c>
      <c r="DC86" s="399">
        <v>1.1497900305064519</v>
      </c>
      <c r="DD86" s="399">
        <v>0</v>
      </c>
      <c r="DE86" s="399">
        <v>0</v>
      </c>
      <c r="DF86" s="399">
        <v>0</v>
      </c>
      <c r="DG86" s="399">
        <v>9.5829283616939875E-2</v>
      </c>
      <c r="DH86" s="399">
        <v>0</v>
      </c>
      <c r="DI86" s="399">
        <v>0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0</v>
      </c>
      <c r="DP86" s="399">
        <v>9.5522865149835073E-3</v>
      </c>
      <c r="DQ86" s="399">
        <v>0</v>
      </c>
      <c r="DR86" s="399">
        <v>0</v>
      </c>
      <c r="DS86" s="399"/>
      <c r="DT86" s="399"/>
      <c r="DU86" s="399"/>
      <c r="DV86" s="399">
        <v>18.013032630243629</v>
      </c>
      <c r="DW86" s="399">
        <v>0</v>
      </c>
      <c r="DX86" s="399">
        <v>0</v>
      </c>
      <c r="DY86" s="399">
        <v>-9.2762999999999991</v>
      </c>
      <c r="DZ86" s="399">
        <v>1.1501999999999981</v>
      </c>
      <c r="EA86" s="399">
        <v>0</v>
      </c>
      <c r="EB86" s="399">
        <v>0</v>
      </c>
      <c r="EC86" s="399">
        <v>-9.3124862771681247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232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7" customFormat="1">
      <c r="A87" s="399">
        <v>86</v>
      </c>
      <c r="B87" s="399" t="s">
        <v>956</v>
      </c>
      <c r="C87" s="399" t="s">
        <v>2328</v>
      </c>
      <c r="D87" s="399" t="s">
        <v>1821</v>
      </c>
      <c r="E87" s="399" t="s">
        <v>889</v>
      </c>
      <c r="F87" s="399" t="s">
        <v>2332</v>
      </c>
      <c r="G87" s="399" t="s">
        <v>1239</v>
      </c>
      <c r="H87" s="399" t="s">
        <v>1239</v>
      </c>
      <c r="I87" s="399" t="s">
        <v>1239</v>
      </c>
      <c r="J87" s="399" t="s">
        <v>2326</v>
      </c>
      <c r="K87" s="788">
        <v>44562</v>
      </c>
      <c r="L87" s="399">
        <v>0</v>
      </c>
      <c r="M87" s="399">
        <v>0</v>
      </c>
      <c r="N87" s="399">
        <v>0.21</v>
      </c>
      <c r="O87" s="399">
        <v>0.21</v>
      </c>
      <c r="P87" s="399">
        <v>0.21</v>
      </c>
      <c r="Q87" s="399">
        <v>0.21</v>
      </c>
      <c r="R87" s="399"/>
      <c r="S87" s="399">
        <v>325.25</v>
      </c>
      <c r="T87" s="399">
        <v>297.72000000000003</v>
      </c>
      <c r="U87" s="399"/>
      <c r="V87" s="399">
        <v>130.8237</v>
      </c>
      <c r="W87" s="399">
        <v>130.8237</v>
      </c>
      <c r="X87" s="399">
        <v>111.86279999999999</v>
      </c>
      <c r="Y87" s="399">
        <v>0</v>
      </c>
      <c r="Z87" s="399">
        <v>0</v>
      </c>
      <c r="AA87" s="399">
        <v>0</v>
      </c>
      <c r="AB87" s="399">
        <v>0</v>
      </c>
      <c r="AC87" s="399">
        <v>0</v>
      </c>
      <c r="AD87" s="399">
        <v>20.873475667062099</v>
      </c>
      <c r="AE87" s="399">
        <v>42.030409470568472</v>
      </c>
      <c r="AF87" s="399">
        <v>62.522009964998219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0</v>
      </c>
      <c r="AM87" s="399"/>
      <c r="AN87" s="399">
        <v>0.18698125664356949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5.2108987434846092</v>
      </c>
      <c r="BH87" s="399">
        <v>0</v>
      </c>
      <c r="BI87" s="399">
        <v>0</v>
      </c>
      <c r="BJ87" s="399">
        <v>0</v>
      </c>
      <c r="BK87" s="399">
        <v>8.8800000000000008</v>
      </c>
      <c r="BL87" s="399">
        <v>0</v>
      </c>
      <c r="BM87" s="399"/>
      <c r="BN87" s="399"/>
      <c r="BO87" s="399"/>
      <c r="BP87" s="399"/>
      <c r="BQ87" s="399"/>
      <c r="BR87" s="399"/>
      <c r="BS87" s="399"/>
      <c r="BT87" s="399">
        <v>44.744699999999995</v>
      </c>
      <c r="BU87" s="399"/>
      <c r="BV87" s="399">
        <v>67.732908708482825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67.118099999999998</v>
      </c>
      <c r="CJ87" s="399">
        <v>-11.405699999999996</v>
      </c>
      <c r="CK87" s="399"/>
      <c r="CL87" s="399"/>
      <c r="CM87" s="399"/>
      <c r="CN87" s="399"/>
      <c r="CO87" s="399">
        <v>-21.644699999999997</v>
      </c>
      <c r="CP87" s="399">
        <v>2.683799999999994</v>
      </c>
      <c r="CQ87" s="399">
        <v>31</v>
      </c>
      <c r="CR87" s="399">
        <v>2.7678712757801094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-0.16086245904277163</v>
      </c>
      <c r="DA87" s="399">
        <v>0</v>
      </c>
      <c r="DB87" s="399">
        <v>0</v>
      </c>
      <c r="DC87" s="399">
        <v>2.6828434045150544</v>
      </c>
      <c r="DD87" s="399">
        <v>0</v>
      </c>
      <c r="DE87" s="399">
        <v>0</v>
      </c>
      <c r="DF87" s="399">
        <v>0</v>
      </c>
      <c r="DG87" s="399">
        <v>0.22360166177286001</v>
      </c>
      <c r="DH87" s="399">
        <v>0</v>
      </c>
      <c r="DI87" s="399">
        <v>0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0</v>
      </c>
      <c r="DP87" s="399">
        <v>2.2288668534961503E-2</v>
      </c>
      <c r="DQ87" s="399">
        <v>0</v>
      </c>
      <c r="DR87" s="399">
        <v>0</v>
      </c>
      <c r="DS87" s="399"/>
      <c r="DT87" s="399"/>
      <c r="DU87" s="399"/>
      <c r="DV87" s="399">
        <v>42.030409470568472</v>
      </c>
      <c r="DW87" s="399">
        <v>0</v>
      </c>
      <c r="DX87" s="399">
        <v>0</v>
      </c>
      <c r="DY87" s="399">
        <v>-21.644699999999993</v>
      </c>
      <c r="DZ87" s="399">
        <v>2.683799999999998</v>
      </c>
      <c r="EA87" s="399">
        <v>0</v>
      </c>
      <c r="EB87" s="399">
        <v>0</v>
      </c>
      <c r="EC87" s="399">
        <v>-21.72913464672563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232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7" customFormat="1">
      <c r="A88" s="399">
        <v>87</v>
      </c>
      <c r="B88" s="399" t="s">
        <v>956</v>
      </c>
      <c r="C88" s="399" t="s">
        <v>2328</v>
      </c>
      <c r="D88" s="399" t="s">
        <v>1821</v>
      </c>
      <c r="E88" s="399" t="s">
        <v>889</v>
      </c>
      <c r="F88" s="399" t="s">
        <v>2333</v>
      </c>
      <c r="G88" s="399" t="s">
        <v>1239</v>
      </c>
      <c r="H88" s="399" t="s">
        <v>1239</v>
      </c>
      <c r="I88" s="399" t="s">
        <v>1239</v>
      </c>
      <c r="J88" s="399" t="s">
        <v>2326</v>
      </c>
      <c r="K88" s="788">
        <v>44562</v>
      </c>
      <c r="L88" s="399">
        <v>0</v>
      </c>
      <c r="M88" s="399">
        <v>0</v>
      </c>
      <c r="N88" s="399">
        <v>0.29799999999999999</v>
      </c>
      <c r="O88" s="399">
        <v>0.29799999999999999</v>
      </c>
      <c r="P88" s="399">
        <v>0.29799999999999999</v>
      </c>
      <c r="Q88" s="399">
        <v>0.29799999999999999</v>
      </c>
      <c r="R88" s="399"/>
      <c r="S88" s="399">
        <v>325.25</v>
      </c>
      <c r="T88" s="399">
        <v>297.72000000000003</v>
      </c>
      <c r="U88" s="399"/>
      <c r="V88" s="399">
        <v>185.64506</v>
      </c>
      <c r="W88" s="399">
        <v>185.64506</v>
      </c>
      <c r="X88" s="399">
        <v>158.73863999999998</v>
      </c>
      <c r="Y88" s="399">
        <v>0</v>
      </c>
      <c r="Z88" s="399">
        <v>0</v>
      </c>
      <c r="AA88" s="399">
        <v>0</v>
      </c>
      <c r="AB88" s="399">
        <v>0</v>
      </c>
      <c r="AC88" s="399">
        <v>0</v>
      </c>
      <c r="AD88" s="399">
        <v>29.620455946592884</v>
      </c>
      <c r="AE88" s="399">
        <v>59.643152486806684</v>
      </c>
      <c r="AF88" s="399">
        <v>88.721709378902233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0</v>
      </c>
      <c r="AM88" s="399"/>
      <c r="AN88" s="399">
        <v>0.26533530704658909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7.3945134550400642</v>
      </c>
      <c r="BH88" s="399">
        <v>0</v>
      </c>
      <c r="BI88" s="399">
        <v>0</v>
      </c>
      <c r="BJ88" s="399">
        <v>0</v>
      </c>
      <c r="BK88" s="399">
        <v>32.42</v>
      </c>
      <c r="BL88" s="399">
        <v>1</v>
      </c>
      <c r="BM88" s="399"/>
      <c r="BN88" s="399"/>
      <c r="BO88" s="399"/>
      <c r="BP88" s="399"/>
      <c r="BQ88" s="399"/>
      <c r="BR88" s="399"/>
      <c r="BS88" s="399"/>
      <c r="BT88" s="399">
        <v>15.874460000000003</v>
      </c>
      <c r="BU88" s="399"/>
      <c r="BV88" s="399">
        <v>96.116222833942302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143.82299999999998</v>
      </c>
      <c r="CJ88" s="399">
        <v>-23.28666000000004</v>
      </c>
      <c r="CK88" s="399"/>
      <c r="CL88" s="399"/>
      <c r="CM88" s="399"/>
      <c r="CN88" s="399"/>
      <c r="CO88" s="399">
        <v>-30.714859999999998</v>
      </c>
      <c r="CP88" s="399">
        <v>3.8084399999999916</v>
      </c>
      <c r="CQ88" s="399">
        <v>31</v>
      </c>
      <c r="CR88" s="399">
        <v>3.9277411437260668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-0.22827148949879117</v>
      </c>
      <c r="DA88" s="399">
        <v>0</v>
      </c>
      <c r="DB88" s="399">
        <v>0</v>
      </c>
      <c r="DC88" s="399">
        <v>3.8070825454546906</v>
      </c>
      <c r="DD88" s="399">
        <v>0</v>
      </c>
      <c r="DE88" s="399">
        <v>0</v>
      </c>
      <c r="DF88" s="399">
        <v>0</v>
      </c>
      <c r="DG88" s="399">
        <v>0.31730140575386745</v>
      </c>
      <c r="DH88" s="399">
        <v>0</v>
      </c>
      <c r="DI88" s="399">
        <v>0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0</v>
      </c>
      <c r="DP88" s="399">
        <v>3.162868201627872E-2</v>
      </c>
      <c r="DQ88" s="399">
        <v>0</v>
      </c>
      <c r="DR88" s="399">
        <v>0</v>
      </c>
      <c r="DS88" s="399"/>
      <c r="DT88" s="399"/>
      <c r="DU88" s="399"/>
      <c r="DV88" s="399">
        <v>59.643152486806684</v>
      </c>
      <c r="DW88" s="399">
        <v>0</v>
      </c>
      <c r="DX88" s="399">
        <v>0</v>
      </c>
      <c r="DY88" s="399">
        <v>-30.714860000000002</v>
      </c>
      <c r="DZ88" s="399">
        <v>3.8084399999999903</v>
      </c>
      <c r="EA88" s="399">
        <v>0</v>
      </c>
      <c r="EB88" s="399">
        <v>0</v>
      </c>
      <c r="EC88" s="399">
        <v>-30.834676784401125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232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7" customFormat="1">
      <c r="A89" s="399">
        <v>88</v>
      </c>
      <c r="B89" s="399" t="s">
        <v>956</v>
      </c>
      <c r="C89" s="399" t="s">
        <v>2328</v>
      </c>
      <c r="D89" s="399" t="s">
        <v>1821</v>
      </c>
      <c r="E89" s="399" t="s">
        <v>889</v>
      </c>
      <c r="F89" s="399" t="s">
        <v>2334</v>
      </c>
      <c r="G89" s="399" t="s">
        <v>1239</v>
      </c>
      <c r="H89" s="399" t="s">
        <v>1239</v>
      </c>
      <c r="I89" s="399" t="s">
        <v>1239</v>
      </c>
      <c r="J89" s="399" t="s">
        <v>2326</v>
      </c>
      <c r="K89" s="788">
        <v>44562</v>
      </c>
      <c r="L89" s="399">
        <v>0</v>
      </c>
      <c r="M89" s="399">
        <v>0</v>
      </c>
      <c r="N89" s="399">
        <v>5.6000000000000001E-2</v>
      </c>
      <c r="O89" s="399">
        <v>5.6000000000000001E-2</v>
      </c>
      <c r="P89" s="399">
        <v>5.6000000000000001E-2</v>
      </c>
      <c r="Q89" s="399">
        <v>5.6000000000000001E-2</v>
      </c>
      <c r="R89" s="399"/>
      <c r="S89" s="399">
        <v>325.25</v>
      </c>
      <c r="T89" s="399">
        <v>297.72000000000003</v>
      </c>
      <c r="U89" s="399"/>
      <c r="V89" s="399">
        <v>34.886319999999998</v>
      </c>
      <c r="W89" s="399">
        <v>34.886319999999998</v>
      </c>
      <c r="X89" s="399">
        <v>29.830080000000002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5.566260177883227</v>
      </c>
      <c r="AE89" s="399">
        <v>11.208109192151593</v>
      </c>
      <c r="AF89" s="399">
        <v>16.672535990666191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4.9861668438285198E-2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1.3895729982625624</v>
      </c>
      <c r="BH89" s="399">
        <v>0</v>
      </c>
      <c r="BI89" s="399">
        <v>0</v>
      </c>
      <c r="BJ89" s="399">
        <v>0</v>
      </c>
      <c r="BK89" s="399">
        <v>9.6199999999999992</v>
      </c>
      <c r="BL89" s="399">
        <v>2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18.062108988928752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31.960799999999999</v>
      </c>
      <c r="CJ89" s="399">
        <v>-2.955520000000007</v>
      </c>
      <c r="CK89" s="399"/>
      <c r="CL89" s="399"/>
      <c r="CM89" s="399"/>
      <c r="CN89" s="399"/>
      <c r="CO89" s="399">
        <v>-5.7719199999999997</v>
      </c>
      <c r="CP89" s="399">
        <v>0.71567999999999854</v>
      </c>
      <c r="CQ89" s="399">
        <v>31</v>
      </c>
      <c r="CR89" s="399">
        <v>0.7380990068746982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-4.289665574473922E-2</v>
      </c>
      <c r="DA89" s="399">
        <v>0</v>
      </c>
      <c r="DB89" s="399">
        <v>0</v>
      </c>
      <c r="DC89" s="399">
        <v>0.71542490787068402</v>
      </c>
      <c r="DD89" s="399">
        <v>0</v>
      </c>
      <c r="DE89" s="399">
        <v>0</v>
      </c>
      <c r="DF89" s="399">
        <v>0</v>
      </c>
      <c r="DG89" s="399">
        <v>5.962710980609609E-2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0</v>
      </c>
      <c r="DP89" s="399">
        <v>5.9436449426564023E-3</v>
      </c>
      <c r="DQ89" s="399">
        <v>0</v>
      </c>
      <c r="DR89" s="399">
        <v>0</v>
      </c>
      <c r="DS89" s="399"/>
      <c r="DT89" s="399"/>
      <c r="DU89" s="399"/>
      <c r="DV89" s="399">
        <v>11.208109192151593</v>
      </c>
      <c r="DW89" s="399">
        <v>0</v>
      </c>
      <c r="DX89" s="399">
        <v>0</v>
      </c>
      <c r="DY89" s="399">
        <v>-5.7719199999999979</v>
      </c>
      <c r="DZ89" s="399">
        <v>0.71567999999999898</v>
      </c>
      <c r="EA89" s="399">
        <v>0</v>
      </c>
      <c r="EB89" s="399">
        <v>0</v>
      </c>
      <c r="EC89" s="399">
        <v>-5.7944359057935007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232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7" customFormat="1">
      <c r="A90" s="399">
        <v>89</v>
      </c>
      <c r="B90" s="399" t="s">
        <v>956</v>
      </c>
      <c r="C90" s="399" t="s">
        <v>2328</v>
      </c>
      <c r="D90" s="399" t="s">
        <v>1824</v>
      </c>
      <c r="E90" s="399" t="s">
        <v>890</v>
      </c>
      <c r="F90" s="399" t="s">
        <v>1239</v>
      </c>
      <c r="G90" s="399" t="s">
        <v>1239</v>
      </c>
      <c r="H90" s="399" t="s">
        <v>1239</v>
      </c>
      <c r="I90" s="399" t="s">
        <v>1239</v>
      </c>
      <c r="J90" s="399" t="s">
        <v>2326</v>
      </c>
      <c r="K90" s="788">
        <v>44562</v>
      </c>
      <c r="L90" s="399">
        <v>0</v>
      </c>
      <c r="M90" s="399">
        <v>0</v>
      </c>
      <c r="N90" s="399">
        <v>2.3570000000000002</v>
      </c>
      <c r="O90" s="399">
        <v>2.3570000000000002</v>
      </c>
      <c r="P90" s="399">
        <v>2.3570000000000002</v>
      </c>
      <c r="Q90" s="399">
        <v>2.3570000000000002</v>
      </c>
      <c r="R90" s="399"/>
      <c r="S90" s="399">
        <v>395.23</v>
      </c>
      <c r="T90" s="399">
        <v>297.72000000000003</v>
      </c>
      <c r="U90" s="399"/>
      <c r="V90" s="399">
        <v>1633.2831500000002</v>
      </c>
      <c r="W90" s="399">
        <v>1633.2831500000002</v>
      </c>
      <c r="X90" s="399">
        <v>1447.5515500000001</v>
      </c>
      <c r="Y90" s="399">
        <v>0</v>
      </c>
      <c r="Z90" s="399">
        <v>142.86158438152646</v>
      </c>
      <c r="AA90" s="399">
        <v>0</v>
      </c>
      <c r="AB90" s="399">
        <v>0</v>
      </c>
      <c r="AC90" s="399">
        <v>0</v>
      </c>
      <c r="AD90" s="399">
        <v>234.27991498697799</v>
      </c>
      <c r="AE90" s="399">
        <v>471.74131010538048</v>
      </c>
      <c r="AF90" s="399">
        <v>701.73513089286098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22.087181614102786</v>
      </c>
      <c r="AM90" s="399"/>
      <c r="AN90" s="399">
        <v>2.0986420090899682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58.486134944729642</v>
      </c>
      <c r="BH90" s="399">
        <v>0</v>
      </c>
      <c r="BI90" s="399">
        <v>0</v>
      </c>
      <c r="BJ90" s="399">
        <v>0</v>
      </c>
      <c r="BK90" s="399">
        <v>579.15</v>
      </c>
      <c r="BL90" s="399">
        <v>2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760.22126583759064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1449.3939999999998</v>
      </c>
      <c r="CJ90" s="399">
        <v>-183.9191500000004</v>
      </c>
      <c r="CK90" s="399"/>
      <c r="CL90" s="399"/>
      <c r="CM90" s="399"/>
      <c r="CN90" s="399"/>
      <c r="CO90" s="399">
        <v>-215.85406000000012</v>
      </c>
      <c r="CP90" s="399">
        <v>30.12245999999994</v>
      </c>
      <c r="CQ90" s="399">
        <v>31</v>
      </c>
      <c r="CR90" s="399">
        <v>58.132983368592477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-1.8054895998276947</v>
      </c>
      <c r="DA90" s="399">
        <v>0</v>
      </c>
      <c r="DB90" s="399">
        <v>0</v>
      </c>
      <c r="DC90" s="399">
        <v>30.111723354485662</v>
      </c>
      <c r="DD90" s="399">
        <v>0</v>
      </c>
      <c r="DE90" s="399">
        <v>0</v>
      </c>
      <c r="DF90" s="399">
        <v>0</v>
      </c>
      <c r="DG90" s="399">
        <v>2.5096624609458615</v>
      </c>
      <c r="DH90" s="399">
        <v>0</v>
      </c>
      <c r="DI90" s="399">
        <v>23.850298298104462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3.2166250847082125</v>
      </c>
      <c r="DP90" s="399">
        <v>0.25016377017573488</v>
      </c>
      <c r="DQ90" s="399">
        <v>0</v>
      </c>
      <c r="DR90" s="399">
        <v>0</v>
      </c>
      <c r="DS90" s="399"/>
      <c r="DT90" s="399"/>
      <c r="DU90" s="399"/>
      <c r="DV90" s="399">
        <v>471.74131010538048</v>
      </c>
      <c r="DW90" s="399">
        <v>0</v>
      </c>
      <c r="DX90" s="399">
        <v>0</v>
      </c>
      <c r="DY90" s="399">
        <v>-215.85406000000012</v>
      </c>
      <c r="DZ90" s="399">
        <v>30.122459999999933</v>
      </c>
      <c r="EA90" s="399">
        <v>0</v>
      </c>
      <c r="EB90" s="399">
        <v>0</v>
      </c>
      <c r="EC90" s="399">
        <v>-243.88366839205864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232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7" customFormat="1">
      <c r="A91" s="399">
        <v>90</v>
      </c>
      <c r="B91" s="399" t="s">
        <v>956</v>
      </c>
      <c r="C91" s="399" t="s">
        <v>2343</v>
      </c>
      <c r="D91" s="399" t="s">
        <v>533</v>
      </c>
      <c r="E91" s="399" t="s">
        <v>890</v>
      </c>
      <c r="F91" s="399" t="s">
        <v>1239</v>
      </c>
      <c r="G91" s="399" t="s">
        <v>1239</v>
      </c>
      <c r="H91" s="399" t="s">
        <v>1239</v>
      </c>
      <c r="I91" s="399" t="s">
        <v>893</v>
      </c>
      <c r="J91" s="399" t="s">
        <v>2326</v>
      </c>
      <c r="K91" s="788">
        <v>44562</v>
      </c>
      <c r="L91" s="399">
        <v>715</v>
      </c>
      <c r="M91" s="399">
        <v>715</v>
      </c>
      <c r="N91" s="399">
        <v>33.731000000000002</v>
      </c>
      <c r="O91" s="399">
        <v>33.731000000000002</v>
      </c>
      <c r="P91" s="399">
        <v>33.731000000000002</v>
      </c>
      <c r="Q91" s="399">
        <v>33.731000000000002</v>
      </c>
      <c r="R91" s="399">
        <v>78.569999999999993</v>
      </c>
      <c r="S91" s="399">
        <v>72.290000000000006</v>
      </c>
      <c r="T91" s="399">
        <v>297.72000000000003</v>
      </c>
      <c r="U91" s="399">
        <v>56177.549999999996</v>
      </c>
      <c r="V91" s="399">
        <v>12480.807310000002</v>
      </c>
      <c r="W91" s="399">
        <v>68658.357309999992</v>
      </c>
      <c r="X91" s="399">
        <v>51509.324639999999</v>
      </c>
      <c r="Y91" s="399">
        <v>0</v>
      </c>
      <c r="Z91" s="399">
        <v>1778.7067328861892</v>
      </c>
      <c r="AA91" s="399">
        <v>0</v>
      </c>
      <c r="AB91" s="399">
        <v>0</v>
      </c>
      <c r="AC91" s="399">
        <v>0</v>
      </c>
      <c r="AD91" s="399">
        <v>21794.517656357159</v>
      </c>
      <c r="AE91" s="399">
        <v>34384.966773572196</v>
      </c>
      <c r="AF91" s="399">
        <v>10042.523419663596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316.08940306546504</v>
      </c>
      <c r="AM91" s="399"/>
      <c r="AN91" s="399">
        <v>20.338234753606915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323.15824874103453</v>
      </c>
      <c r="BH91" s="399">
        <v>0</v>
      </c>
      <c r="BI91" s="399">
        <v>0</v>
      </c>
      <c r="BJ91" s="399">
        <v>0</v>
      </c>
      <c r="BK91" s="399">
        <v>0</v>
      </c>
      <c r="BL91" s="399">
        <v>0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10365.68166840463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51508.931199999999</v>
      </c>
      <c r="CJ91" s="399">
        <v>-17149.456109999992</v>
      </c>
      <c r="CK91" s="399"/>
      <c r="CL91" s="399"/>
      <c r="CM91" s="399"/>
      <c r="CN91" s="399"/>
      <c r="CO91" s="399">
        <v>-17580.114849999998</v>
      </c>
      <c r="CP91" s="399">
        <v>431.08217999999908</v>
      </c>
      <c r="CQ91" s="399">
        <v>31</v>
      </c>
      <c r="CR91" s="399">
        <v>622.24188597523607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-167.96051408843778</v>
      </c>
      <c r="DA91" s="399">
        <v>0</v>
      </c>
      <c r="DB91" s="399">
        <v>0</v>
      </c>
      <c r="DC91" s="399">
        <v>430.92852798903368</v>
      </c>
      <c r="DD91" s="399">
        <v>0</v>
      </c>
      <c r="DE91" s="399">
        <v>0</v>
      </c>
      <c r="DF91" s="399">
        <v>0</v>
      </c>
      <c r="DG91" s="399">
        <v>13.86684427987592</v>
      </c>
      <c r="DH91" s="399">
        <v>0</v>
      </c>
      <c r="DI91" s="399">
        <v>296.94957078795801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46.033084740047798</v>
      </c>
      <c r="DP91" s="399">
        <v>2.4243722667534264</v>
      </c>
      <c r="DQ91" s="399">
        <v>0</v>
      </c>
      <c r="DR91" s="399">
        <v>0</v>
      </c>
      <c r="DS91" s="399"/>
      <c r="DT91" s="399"/>
      <c r="DU91" s="399">
        <v>34384.966773572196</v>
      </c>
      <c r="DV91" s="399">
        <v>0</v>
      </c>
      <c r="DW91" s="399">
        <v>0</v>
      </c>
      <c r="DX91" s="399">
        <v>0</v>
      </c>
      <c r="DY91" s="399">
        <v>-17580.114849999998</v>
      </c>
      <c r="DZ91" s="399">
        <v>431.08217999999943</v>
      </c>
      <c r="EA91" s="399">
        <v>0</v>
      </c>
      <c r="EB91" s="399">
        <v>0</v>
      </c>
      <c r="EC91" s="399">
        <v>-17776.547558246544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232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7" customFormat="1">
      <c r="A92" s="399">
        <v>91</v>
      </c>
      <c r="B92" s="399" t="s">
        <v>956</v>
      </c>
      <c r="C92" s="399" t="s">
        <v>2343</v>
      </c>
      <c r="D92" s="399" t="s">
        <v>533</v>
      </c>
      <c r="E92" s="399" t="s">
        <v>890</v>
      </c>
      <c r="F92" s="399" t="s">
        <v>1239</v>
      </c>
      <c r="G92" s="399" t="s">
        <v>1239</v>
      </c>
      <c r="H92" s="399" t="s">
        <v>1239</v>
      </c>
      <c r="I92" s="399" t="s">
        <v>2323</v>
      </c>
      <c r="J92" s="399" t="s">
        <v>2326</v>
      </c>
      <c r="K92" s="788">
        <v>44562</v>
      </c>
      <c r="L92" s="399">
        <v>715</v>
      </c>
      <c r="M92" s="399">
        <v>715</v>
      </c>
      <c r="N92" s="399">
        <v>235.41499999999999</v>
      </c>
      <c r="O92" s="399">
        <v>235.41499999999999</v>
      </c>
      <c r="P92" s="399">
        <v>235.41499999999999</v>
      </c>
      <c r="Q92" s="399">
        <v>235.41499999999999</v>
      </c>
      <c r="R92" s="399">
        <v>25.76</v>
      </c>
      <c r="S92" s="399">
        <v>72.290000000000006</v>
      </c>
      <c r="T92" s="399">
        <v>297.72000000000003</v>
      </c>
      <c r="U92" s="399">
        <v>18418.400000000001</v>
      </c>
      <c r="V92" s="399">
        <v>87105.904150000002</v>
      </c>
      <c r="W92" s="399">
        <v>105524.30415000001</v>
      </c>
      <c r="X92" s="399">
        <v>106006.4776</v>
      </c>
      <c r="Y92" s="399">
        <v>0</v>
      </c>
      <c r="Z92" s="399">
        <v>12413.929190430234</v>
      </c>
      <c r="AA92" s="399">
        <v>0</v>
      </c>
      <c r="AB92" s="399">
        <v>0</v>
      </c>
      <c r="AC92" s="399">
        <v>0</v>
      </c>
      <c r="AD92" s="399">
        <v>8809.0697848288128</v>
      </c>
      <c r="AE92" s="399">
        <v>9608.3573567757503</v>
      </c>
      <c r="AF92" s="399">
        <v>70088.661790047874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2206.047458499791</v>
      </c>
      <c r="AM92" s="399"/>
      <c r="AN92" s="399">
        <v>141.94436970503014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2255.3822634185358</v>
      </c>
      <c r="BH92" s="399">
        <v>0</v>
      </c>
      <c r="BI92" s="399">
        <v>0</v>
      </c>
      <c r="BJ92" s="399">
        <v>0</v>
      </c>
      <c r="BK92" s="399">
        <v>0</v>
      </c>
      <c r="BL92" s="399">
        <v>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72344.044053466409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106008.44479999998</v>
      </c>
      <c r="CJ92" s="399">
        <v>484.1106499999878</v>
      </c>
      <c r="CK92" s="399"/>
      <c r="CL92" s="399"/>
      <c r="CM92" s="399"/>
      <c r="CN92" s="399"/>
      <c r="CO92" s="399">
        <v>-2526.4302500000044</v>
      </c>
      <c r="CP92" s="399">
        <v>3008.6036999999933</v>
      </c>
      <c r="CQ92" s="399">
        <v>31</v>
      </c>
      <c r="CR92" s="399">
        <v>5447.0838060758106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-67.88752625912457</v>
      </c>
      <c r="DA92" s="399">
        <v>0</v>
      </c>
      <c r="DB92" s="399">
        <v>0</v>
      </c>
      <c r="DC92" s="399">
        <v>3007.5313336852996</v>
      </c>
      <c r="DD92" s="399">
        <v>0</v>
      </c>
      <c r="DE92" s="399">
        <v>0</v>
      </c>
      <c r="DF92" s="399">
        <v>0</v>
      </c>
      <c r="DG92" s="399">
        <v>96.77931713103635</v>
      </c>
      <c r="DH92" s="399">
        <v>0</v>
      </c>
      <c r="DI92" s="399">
        <v>2072.466965315205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321.27356568374353</v>
      </c>
      <c r="DP92" s="399">
        <v>16.920150519633523</v>
      </c>
      <c r="DQ92" s="399">
        <v>0</v>
      </c>
      <c r="DR92" s="399">
        <v>0</v>
      </c>
      <c r="DS92" s="399"/>
      <c r="DT92" s="399"/>
      <c r="DU92" s="399">
        <v>9608.3573567757503</v>
      </c>
      <c r="DV92" s="399">
        <v>0</v>
      </c>
      <c r="DW92" s="399">
        <v>0</v>
      </c>
      <c r="DX92" s="399">
        <v>0</v>
      </c>
      <c r="DY92" s="399">
        <v>-2526.4302500000049</v>
      </c>
      <c r="DZ92" s="399">
        <v>3008.6036999999924</v>
      </c>
      <c r="EA92" s="399">
        <v>0</v>
      </c>
      <c r="EB92" s="399">
        <v>0</v>
      </c>
      <c r="EC92" s="399">
        <v>-4967.3865510502392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232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7" customFormat="1">
      <c r="A93" s="399">
        <v>92</v>
      </c>
      <c r="B93" s="399" t="s">
        <v>956</v>
      </c>
      <c r="C93" s="399" t="s">
        <v>2343</v>
      </c>
      <c r="D93" s="399" t="s">
        <v>533</v>
      </c>
      <c r="E93" s="399" t="s">
        <v>890</v>
      </c>
      <c r="F93" s="399" t="s">
        <v>1239</v>
      </c>
      <c r="G93" s="399" t="s">
        <v>1239</v>
      </c>
      <c r="H93" s="399" t="s">
        <v>1239</v>
      </c>
      <c r="I93" s="399" t="s">
        <v>1239</v>
      </c>
      <c r="J93" s="399" t="s">
        <v>2326</v>
      </c>
      <c r="K93" s="788">
        <v>44562</v>
      </c>
      <c r="L93" s="399">
        <v>0</v>
      </c>
      <c r="M93" s="399">
        <v>0</v>
      </c>
      <c r="N93" s="399">
        <v>0</v>
      </c>
      <c r="O93" s="399">
        <v>0</v>
      </c>
      <c r="P93" s="399">
        <v>0</v>
      </c>
      <c r="Q93" s="399">
        <v>0</v>
      </c>
      <c r="R93" s="399"/>
      <c r="S93" s="399"/>
      <c r="T93" s="399"/>
      <c r="U93" s="399"/>
      <c r="V93" s="399"/>
      <c r="W93" s="399"/>
      <c r="X93" s="399"/>
      <c r="Y93" s="399"/>
      <c r="Z93" s="399"/>
      <c r="AA93" s="399">
        <v>0</v>
      </c>
      <c r="AB93" s="399"/>
      <c r="AC93" s="399"/>
      <c r="AD93" s="399"/>
      <c r="AE93" s="399"/>
      <c r="AF93" s="399"/>
      <c r="AG93" s="399"/>
      <c r="AH93" s="399"/>
      <c r="AI93" s="399"/>
      <c r="AJ93" s="399"/>
      <c r="AK93" s="399"/>
      <c r="AL93" s="399"/>
      <c r="AM93" s="399"/>
      <c r="AN93" s="399"/>
      <c r="AO93" s="399"/>
      <c r="AP93" s="399"/>
      <c r="AQ93" s="399"/>
      <c r="AR93" s="399"/>
      <c r="AS93" s="399"/>
      <c r="AT93" s="399"/>
      <c r="AU93" s="399"/>
      <c r="AV93" s="399"/>
      <c r="AW93" s="399"/>
      <c r="AX93" s="399"/>
      <c r="AY93" s="399"/>
      <c r="AZ93" s="399">
        <v>0</v>
      </c>
      <c r="BA93" s="399"/>
      <c r="BB93" s="399"/>
      <c r="BC93" s="399"/>
      <c r="BD93" s="399"/>
      <c r="BE93" s="399"/>
      <c r="BF93" s="399"/>
      <c r="BG93" s="399"/>
      <c r="BH93" s="399"/>
      <c r="BI93" s="399">
        <v>0</v>
      </c>
      <c r="BJ93" s="399">
        <v>0</v>
      </c>
      <c r="BK93" s="399">
        <v>64622.68</v>
      </c>
      <c r="BL93" s="399">
        <v>1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/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/>
      <c r="CJ93" s="399">
        <v>-0.03</v>
      </c>
      <c r="CK93" s="399"/>
      <c r="CL93" s="399"/>
      <c r="CM93" s="399"/>
      <c r="CN93" s="399"/>
      <c r="CO93" s="399">
        <v>0</v>
      </c>
      <c r="CP93" s="399">
        <v>0</v>
      </c>
      <c r="CQ93" s="399">
        <v>31</v>
      </c>
      <c r="CR93" s="399"/>
      <c r="CS93" s="399"/>
      <c r="CT93" s="399"/>
      <c r="CU93" s="399"/>
      <c r="CV93" s="399"/>
      <c r="CW93" s="399"/>
      <c r="CX93" s="399"/>
      <c r="CY93" s="399"/>
      <c r="CZ93" s="399"/>
      <c r="DA93" s="399"/>
      <c r="DB93" s="399"/>
      <c r="DC93" s="399"/>
      <c r="DD93" s="399"/>
      <c r="DE93" s="399"/>
      <c r="DF93" s="399"/>
      <c r="DG93" s="399"/>
      <c r="DH93" s="399"/>
      <c r="DI93" s="399"/>
      <c r="DJ93" s="399"/>
      <c r="DK93" s="399">
        <v>0</v>
      </c>
      <c r="DL93" s="399"/>
      <c r="DM93" s="399"/>
      <c r="DN93" s="399"/>
      <c r="DO93" s="399"/>
      <c r="DP93" s="399"/>
      <c r="DQ93" s="399"/>
      <c r="DR93" s="399"/>
      <c r="DS93" s="399"/>
      <c r="DT93" s="399"/>
      <c r="DU93" s="399"/>
      <c r="DV93" s="399"/>
      <c r="DW93" s="399"/>
      <c r="DX93" s="399"/>
      <c r="DY93" s="399"/>
      <c r="DZ93" s="399"/>
      <c r="EA93" s="399"/>
      <c r="EB93" s="399"/>
      <c r="EC93" s="399"/>
      <c r="ED93" s="399"/>
      <c r="EE93" s="399"/>
      <c r="EF93" s="399"/>
      <c r="EG93" s="399"/>
      <c r="EH93" s="399"/>
      <c r="EI93" s="399"/>
      <c r="EJ93" s="399"/>
      <c r="EK93" s="399"/>
      <c r="EL93" s="399"/>
      <c r="EM93" s="399"/>
      <c r="EN93" s="399"/>
      <c r="EO93" s="399"/>
      <c r="EP93" s="399"/>
      <c r="EQ93" s="399"/>
      <c r="ER93" s="399"/>
      <c r="ES93" s="399"/>
      <c r="ET93" s="399"/>
      <c r="EU93" s="399"/>
      <c r="EV93" s="399">
        <v>232</v>
      </c>
      <c r="EW93" s="399"/>
      <c r="EX93" s="399"/>
      <c r="EY93" s="399"/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7" customFormat="1">
      <c r="A94" s="399">
        <v>93</v>
      </c>
      <c r="B94" s="399" t="s">
        <v>956</v>
      </c>
      <c r="C94" s="399" t="s">
        <v>2325</v>
      </c>
      <c r="D94" s="399" t="s">
        <v>533</v>
      </c>
      <c r="E94" s="399" t="s">
        <v>890</v>
      </c>
      <c r="F94" s="399" t="s">
        <v>1239</v>
      </c>
      <c r="G94" s="399" t="s">
        <v>1239</v>
      </c>
      <c r="H94" s="399" t="s">
        <v>1239</v>
      </c>
      <c r="I94" s="399" t="s">
        <v>893</v>
      </c>
      <c r="J94" s="399" t="s">
        <v>2326</v>
      </c>
      <c r="K94" s="788">
        <v>44562</v>
      </c>
      <c r="L94" s="399">
        <v>0</v>
      </c>
      <c r="M94" s="399">
        <v>0</v>
      </c>
      <c r="N94" s="399">
        <v>44.844000000000001</v>
      </c>
      <c r="O94" s="399">
        <v>44.844000000000001</v>
      </c>
      <c r="P94" s="399">
        <v>44.844000000000001</v>
      </c>
      <c r="Q94" s="399">
        <v>44.844000000000001</v>
      </c>
      <c r="R94" s="399"/>
      <c r="S94" s="399">
        <v>1962.25</v>
      </c>
      <c r="T94" s="399">
        <v>297.72000000000003</v>
      </c>
      <c r="U94" s="399"/>
      <c r="V94" s="399">
        <v>101346.09467999999</v>
      </c>
      <c r="W94" s="399">
        <v>101346.09467999999</v>
      </c>
      <c r="X94" s="399">
        <v>75329.399640000003</v>
      </c>
      <c r="Y94" s="399">
        <v>0</v>
      </c>
      <c r="Z94" s="399">
        <v>2364.7186484109061</v>
      </c>
      <c r="AA94" s="399">
        <v>0</v>
      </c>
      <c r="AB94" s="399">
        <v>0</v>
      </c>
      <c r="AC94" s="399">
        <v>0</v>
      </c>
      <c r="AD94" s="399">
        <v>32887.757731212114</v>
      </c>
      <c r="AE94" s="399">
        <v>51865.965147982381</v>
      </c>
      <c r="AF94" s="399">
        <v>13351.128642239906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420.22807479967133</v>
      </c>
      <c r="AM94" s="399"/>
      <c r="AN94" s="399">
        <v>27.038860374455204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429.62581917354817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13780.754461413455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75322.680400000012</v>
      </c>
      <c r="CJ94" s="399">
        <v>-26023.444279999967</v>
      </c>
      <c r="CK94" s="399"/>
      <c r="CL94" s="399"/>
      <c r="CM94" s="399"/>
      <c r="CN94" s="399"/>
      <c r="CO94" s="399">
        <v>-26589.801360000005</v>
      </c>
      <c r="CP94" s="399">
        <v>573.10631999999885</v>
      </c>
      <c r="CQ94" s="399">
        <v>31</v>
      </c>
      <c r="CR94" s="399">
        <v>797.09101512302004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-253.45111017581803</v>
      </c>
      <c r="DA94" s="399">
        <v>0</v>
      </c>
      <c r="DB94" s="399">
        <v>0</v>
      </c>
      <c r="DC94" s="399">
        <v>572.90204586701475</v>
      </c>
      <c r="DD94" s="399">
        <v>0</v>
      </c>
      <c r="DE94" s="399">
        <v>0</v>
      </c>
      <c r="DF94" s="399">
        <v>0</v>
      </c>
      <c r="DG94" s="399">
        <v>18.435408522924149</v>
      </c>
      <c r="DH94" s="399">
        <v>0</v>
      </c>
      <c r="DI94" s="399">
        <v>394.78244203893155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61.199124013005985</v>
      </c>
      <c r="DP94" s="399">
        <v>3.2231048569651257</v>
      </c>
      <c r="DQ94" s="399">
        <v>0</v>
      </c>
      <c r="DR94" s="399">
        <v>0</v>
      </c>
      <c r="DS94" s="399"/>
      <c r="DT94" s="399"/>
      <c r="DU94" s="399"/>
      <c r="DV94" s="399">
        <v>51865.965147982381</v>
      </c>
      <c r="DW94" s="399">
        <v>0</v>
      </c>
      <c r="DX94" s="399">
        <v>0</v>
      </c>
      <c r="DY94" s="399">
        <v>-26589.801359999998</v>
      </c>
      <c r="DZ94" s="399">
        <v>573.10631999999896</v>
      </c>
      <c r="EA94" s="399">
        <v>0</v>
      </c>
      <c r="EB94" s="399">
        <v>0</v>
      </c>
      <c r="EC94" s="399">
        <v>-26813.979556208218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232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7" customFormat="1">
      <c r="A95" s="399">
        <v>94</v>
      </c>
      <c r="B95" s="399" t="s">
        <v>956</v>
      </c>
      <c r="C95" s="399" t="s">
        <v>2325</v>
      </c>
      <c r="D95" s="399" t="s">
        <v>533</v>
      </c>
      <c r="E95" s="399" t="s">
        <v>890</v>
      </c>
      <c r="F95" s="399" t="s">
        <v>1239</v>
      </c>
      <c r="G95" s="399" t="s">
        <v>1239</v>
      </c>
      <c r="H95" s="399" t="s">
        <v>1239</v>
      </c>
      <c r="I95" s="399" t="s">
        <v>2323</v>
      </c>
      <c r="J95" s="399" t="s">
        <v>2326</v>
      </c>
      <c r="K95" s="788">
        <v>44562</v>
      </c>
      <c r="L95" s="399">
        <v>0</v>
      </c>
      <c r="M95" s="399">
        <v>0</v>
      </c>
      <c r="N95" s="399">
        <v>635.73900000000003</v>
      </c>
      <c r="O95" s="399">
        <v>635.73900000000003</v>
      </c>
      <c r="P95" s="399">
        <v>635.73900000000003</v>
      </c>
      <c r="Q95" s="399">
        <v>635.73900000000003</v>
      </c>
      <c r="R95" s="399"/>
      <c r="S95" s="399">
        <v>72.290000000000006</v>
      </c>
      <c r="T95" s="399">
        <v>297.72000000000003</v>
      </c>
      <c r="U95" s="399"/>
      <c r="V95" s="399">
        <v>235229.78739000001</v>
      </c>
      <c r="W95" s="399">
        <v>235229.78739000001</v>
      </c>
      <c r="X95" s="399">
        <v>250125.15216</v>
      </c>
      <c r="Y95" s="399">
        <v>0</v>
      </c>
      <c r="Z95" s="399">
        <v>33523.857568952393</v>
      </c>
      <c r="AA95" s="399">
        <v>0</v>
      </c>
      <c r="AB95" s="399">
        <v>0</v>
      </c>
      <c r="AC95" s="399">
        <v>0</v>
      </c>
      <c r="AD95" s="399">
        <v>0</v>
      </c>
      <c r="AE95" s="399">
        <v>0</v>
      </c>
      <c r="AF95" s="399">
        <v>189274.66711018098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5957.4385881069547</v>
      </c>
      <c r="AM95" s="399"/>
      <c r="AN95" s="399">
        <v>383.32124822932337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6090.667394870492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195365.33450505146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250125.54559999998</v>
      </c>
      <c r="CJ95" s="399">
        <v>14895.728209999943</v>
      </c>
      <c r="CK95" s="399"/>
      <c r="CL95" s="399"/>
      <c r="CM95" s="399"/>
      <c r="CN95" s="399"/>
      <c r="CO95" s="399">
        <v>6770.6203499999947</v>
      </c>
      <c r="CP95" s="399">
        <v>8124.7444199999827</v>
      </c>
      <c r="CQ95" s="399">
        <v>31</v>
      </c>
      <c r="CR95" s="399">
        <v>14893.198648545163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</v>
      </c>
      <c r="DA95" s="399">
        <v>0</v>
      </c>
      <c r="DB95" s="399">
        <v>0</v>
      </c>
      <c r="DC95" s="399">
        <v>8121.848491157114</v>
      </c>
      <c r="DD95" s="399">
        <v>0</v>
      </c>
      <c r="DE95" s="399">
        <v>0</v>
      </c>
      <c r="DF95" s="399">
        <v>0</v>
      </c>
      <c r="DG95" s="399">
        <v>261.35287170982247</v>
      </c>
      <c r="DH95" s="399">
        <v>0</v>
      </c>
      <c r="DI95" s="399">
        <v>5596.704016577205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867.60034566283957</v>
      </c>
      <c r="DP95" s="399">
        <v>45.692923438189155</v>
      </c>
      <c r="DQ95" s="399">
        <v>0</v>
      </c>
      <c r="DR95" s="399">
        <v>0</v>
      </c>
      <c r="DS95" s="399"/>
      <c r="DT95" s="399"/>
      <c r="DU95" s="399"/>
      <c r="DV95" s="399">
        <v>0</v>
      </c>
      <c r="DW95" s="399">
        <v>0</v>
      </c>
      <c r="DX95" s="399">
        <v>0</v>
      </c>
      <c r="DY95" s="399">
        <v>6770.6203499999974</v>
      </c>
      <c r="DZ95" s="399">
        <v>8124.7444199999736</v>
      </c>
      <c r="EA95" s="399">
        <v>0</v>
      </c>
      <c r="EB95" s="399">
        <v>0</v>
      </c>
      <c r="EC95" s="399">
        <v>0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232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7" customFormat="1">
      <c r="A96" s="399">
        <v>95</v>
      </c>
      <c r="B96" s="399" t="s">
        <v>956</v>
      </c>
      <c r="C96" s="399" t="s">
        <v>2325</v>
      </c>
      <c r="D96" s="399" t="s">
        <v>533</v>
      </c>
      <c r="E96" s="399" t="s">
        <v>890</v>
      </c>
      <c r="F96" s="399" t="s">
        <v>1239</v>
      </c>
      <c r="G96" s="399" t="s">
        <v>1239</v>
      </c>
      <c r="H96" s="399" t="s">
        <v>1239</v>
      </c>
      <c r="I96" s="399" t="s">
        <v>1239</v>
      </c>
      <c r="J96" s="399" t="s">
        <v>2326</v>
      </c>
      <c r="K96" s="788">
        <v>44562</v>
      </c>
      <c r="L96" s="399">
        <v>3050</v>
      </c>
      <c r="M96" s="399">
        <v>3050</v>
      </c>
      <c r="N96" s="399">
        <v>0</v>
      </c>
      <c r="O96" s="399">
        <v>0</v>
      </c>
      <c r="P96" s="399">
        <v>0</v>
      </c>
      <c r="Q96" s="399">
        <v>0</v>
      </c>
      <c r="R96" s="399">
        <v>25.76</v>
      </c>
      <c r="S96" s="399"/>
      <c r="T96" s="399"/>
      <c r="U96" s="399">
        <v>78568</v>
      </c>
      <c r="V96" s="399"/>
      <c r="W96" s="399">
        <v>78568</v>
      </c>
      <c r="X96" s="399">
        <v>57096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37577.150830388644</v>
      </c>
      <c r="AE96" s="399">
        <v>40986.699214218235</v>
      </c>
      <c r="AF96" s="399"/>
      <c r="AG96" s="399"/>
      <c r="AH96" s="399"/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0</v>
      </c>
      <c r="AO96" s="399">
        <v>0</v>
      </c>
      <c r="AP96" s="399">
        <v>0</v>
      </c>
      <c r="AQ96" s="399">
        <v>0</v>
      </c>
      <c r="AR96" s="399">
        <v>0</v>
      </c>
      <c r="AS96" s="399"/>
      <c r="AT96" s="399"/>
      <c r="AU96" s="399">
        <v>0</v>
      </c>
      <c r="AV96" s="399">
        <v>0</v>
      </c>
      <c r="AW96" s="399">
        <v>0</v>
      </c>
      <c r="AX96" s="399"/>
      <c r="AY96" s="399"/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/>
      <c r="BG96" s="399">
        <v>0</v>
      </c>
      <c r="BH96" s="399">
        <v>0</v>
      </c>
      <c r="BI96" s="399">
        <v>0</v>
      </c>
      <c r="BJ96" s="399">
        <v>0</v>
      </c>
      <c r="BK96" s="399">
        <v>151993.48000000001</v>
      </c>
      <c r="BL96" s="399">
        <v>3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>
        <v>0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57096</v>
      </c>
      <c r="CJ96" s="399">
        <v>-21472.029999999984</v>
      </c>
      <c r="CK96" s="399"/>
      <c r="CL96" s="399"/>
      <c r="CM96" s="399"/>
      <c r="CN96" s="399"/>
      <c r="CO96" s="399">
        <v>-21472.000000000007</v>
      </c>
      <c r="CP96" s="399">
        <v>0</v>
      </c>
      <c r="CQ96" s="399">
        <v>31</v>
      </c>
      <c r="CR96" s="399">
        <v>-289.59014697948442</v>
      </c>
      <c r="CS96" s="399">
        <v>0</v>
      </c>
      <c r="CT96" s="399">
        <v>0</v>
      </c>
      <c r="CU96" s="399">
        <v>0</v>
      </c>
      <c r="CV96" s="399">
        <v>0</v>
      </c>
      <c r="CW96" s="399"/>
      <c r="CX96" s="399"/>
      <c r="CY96" s="399"/>
      <c r="CZ96" s="399">
        <v>-289.59014697948442</v>
      </c>
      <c r="DA96" s="399">
        <v>0</v>
      </c>
      <c r="DB96" s="399">
        <v>0</v>
      </c>
      <c r="DC96" s="399"/>
      <c r="DD96" s="399"/>
      <c r="DE96" s="399">
        <v>0</v>
      </c>
      <c r="DF96" s="399">
        <v>0</v>
      </c>
      <c r="DG96" s="399">
        <v>0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/>
      <c r="DN96" s="399">
        <v>0</v>
      </c>
      <c r="DO96" s="399">
        <v>0</v>
      </c>
      <c r="DP96" s="399">
        <v>0</v>
      </c>
      <c r="DQ96" s="399">
        <v>0</v>
      </c>
      <c r="DR96" s="399">
        <v>0</v>
      </c>
      <c r="DS96" s="399"/>
      <c r="DT96" s="399"/>
      <c r="DU96" s="399">
        <v>40986.699214218235</v>
      </c>
      <c r="DV96" s="399"/>
      <c r="DW96" s="399">
        <v>0</v>
      </c>
      <c r="DX96" s="399">
        <v>0</v>
      </c>
      <c r="DY96" s="399">
        <v>-21472</v>
      </c>
      <c r="DZ96" s="399"/>
      <c r="EA96" s="399">
        <v>0</v>
      </c>
      <c r="EB96" s="399"/>
      <c r="EC96" s="399">
        <v>-21189.551021962558</v>
      </c>
      <c r="ED96" s="399"/>
      <c r="EE96" s="399">
        <v>0</v>
      </c>
      <c r="EF96" s="399">
        <v>0</v>
      </c>
      <c r="EG96" s="399"/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/>
      <c r="EN96" s="399"/>
      <c r="EO96" s="399">
        <v>0</v>
      </c>
      <c r="EP96" s="399">
        <v>0</v>
      </c>
      <c r="EQ96" s="399"/>
      <c r="ER96" s="399">
        <v>0</v>
      </c>
      <c r="ES96" s="399"/>
      <c r="ET96" s="399">
        <v>0</v>
      </c>
      <c r="EU96" s="399"/>
      <c r="EV96" s="399">
        <v>232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7" customFormat="1">
      <c r="A97" s="399">
        <v>96</v>
      </c>
      <c r="B97" s="399" t="s">
        <v>956</v>
      </c>
      <c r="C97" s="399" t="s">
        <v>2328</v>
      </c>
      <c r="D97" s="399" t="s">
        <v>1824</v>
      </c>
      <c r="E97" s="399" t="s">
        <v>918</v>
      </c>
      <c r="F97" s="399" t="s">
        <v>1239</v>
      </c>
      <c r="G97" s="399" t="s">
        <v>1239</v>
      </c>
      <c r="H97" s="399" t="s">
        <v>1239</v>
      </c>
      <c r="I97" s="399" t="s">
        <v>1239</v>
      </c>
      <c r="J97" s="399" t="s">
        <v>2326</v>
      </c>
      <c r="K97" s="788">
        <v>44562</v>
      </c>
      <c r="L97" s="399">
        <v>0</v>
      </c>
      <c r="M97" s="399">
        <v>0</v>
      </c>
      <c r="N97" s="399">
        <v>31.613</v>
      </c>
      <c r="O97" s="399">
        <v>31.613</v>
      </c>
      <c r="P97" s="399">
        <v>31.613</v>
      </c>
      <c r="Q97" s="399">
        <v>31.613</v>
      </c>
      <c r="R97" s="399"/>
      <c r="S97" s="399">
        <v>395.23</v>
      </c>
      <c r="T97" s="399">
        <v>297.72000000000003</v>
      </c>
      <c r="U97" s="399"/>
      <c r="V97" s="399">
        <v>21906.228350000001</v>
      </c>
      <c r="W97" s="399">
        <v>21906.228350000001</v>
      </c>
      <c r="X97" s="399">
        <v>19415.123950000001</v>
      </c>
      <c r="Y97" s="399">
        <v>0</v>
      </c>
      <c r="Z97" s="399">
        <v>1916.1150899674144</v>
      </c>
      <c r="AA97" s="399">
        <v>0</v>
      </c>
      <c r="AB97" s="399">
        <v>0</v>
      </c>
      <c r="AC97" s="399">
        <v>0</v>
      </c>
      <c r="AD97" s="399">
        <v>3142.2532679182582</v>
      </c>
      <c r="AE97" s="399">
        <v>6327.1777837765767</v>
      </c>
      <c r="AF97" s="399">
        <v>9411.9442905880405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296.24186354120974</v>
      </c>
      <c r="AM97" s="399"/>
      <c r="AN97" s="399">
        <v>28.147802220348392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784.43877132275691</v>
      </c>
      <c r="BH97" s="399">
        <v>0</v>
      </c>
      <c r="BI97" s="399">
        <v>0</v>
      </c>
      <c r="BJ97" s="399">
        <v>0</v>
      </c>
      <c r="BK97" s="399">
        <v>7504.58</v>
      </c>
      <c r="BL97" s="399">
        <v>47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10196.383061910798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19413.281499999997</v>
      </c>
      <c r="CJ97" s="399">
        <v>-2492.9768500000027</v>
      </c>
      <c r="CK97" s="399"/>
      <c r="CL97" s="399"/>
      <c r="CM97" s="399"/>
      <c r="CN97" s="399"/>
      <c r="CO97" s="399">
        <v>-2895.1185400000013</v>
      </c>
      <c r="CP97" s="399">
        <v>404.01413999999914</v>
      </c>
      <c r="CQ97" s="399">
        <v>31</v>
      </c>
      <c r="CR97" s="399">
        <v>779.70216513844025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-24.215928179615275</v>
      </c>
      <c r="DA97" s="399">
        <v>0</v>
      </c>
      <c r="DB97" s="399">
        <v>0</v>
      </c>
      <c r="DC97" s="399">
        <v>403.87013593778283</v>
      </c>
      <c r="DD97" s="399">
        <v>0</v>
      </c>
      <c r="DE97" s="399">
        <v>0</v>
      </c>
      <c r="DF97" s="399">
        <v>0</v>
      </c>
      <c r="DG97" s="399">
        <v>33.660568255359067</v>
      </c>
      <c r="DH97" s="399">
        <v>0</v>
      </c>
      <c r="DI97" s="399">
        <v>319.88946970639654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43.14262571187129</v>
      </c>
      <c r="DP97" s="399">
        <v>3.3552937066463713</v>
      </c>
      <c r="DQ97" s="399">
        <v>0</v>
      </c>
      <c r="DR97" s="399">
        <v>0</v>
      </c>
      <c r="DS97" s="399"/>
      <c r="DT97" s="399"/>
      <c r="DU97" s="399"/>
      <c r="DV97" s="399">
        <v>6327.1777837765767</v>
      </c>
      <c r="DW97" s="399">
        <v>0</v>
      </c>
      <c r="DX97" s="399">
        <v>0</v>
      </c>
      <c r="DY97" s="399">
        <v>-2895.1185400000013</v>
      </c>
      <c r="DZ97" s="399">
        <v>404.01413999999932</v>
      </c>
      <c r="EA97" s="399">
        <v>0</v>
      </c>
      <c r="EB97" s="399">
        <v>0</v>
      </c>
      <c r="EC97" s="399">
        <v>-3271.0625408901774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232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7" customFormat="1">
      <c r="A98" s="399">
        <v>97</v>
      </c>
      <c r="B98" s="399" t="s">
        <v>956</v>
      </c>
      <c r="C98" s="399" t="s">
        <v>2328</v>
      </c>
      <c r="D98" s="399" t="s">
        <v>2335</v>
      </c>
      <c r="E98" s="399" t="s">
        <v>894</v>
      </c>
      <c r="F98" s="399" t="s">
        <v>1239</v>
      </c>
      <c r="G98" s="399" t="s">
        <v>1239</v>
      </c>
      <c r="H98" s="399" t="s">
        <v>1239</v>
      </c>
      <c r="I98" s="399" t="s">
        <v>1239</v>
      </c>
      <c r="J98" s="399" t="s">
        <v>2326</v>
      </c>
      <c r="K98" s="788">
        <v>44562</v>
      </c>
      <c r="L98" s="399">
        <v>0</v>
      </c>
      <c r="M98" s="399">
        <v>0</v>
      </c>
      <c r="N98" s="399">
        <v>520.29399999999998</v>
      </c>
      <c r="O98" s="399">
        <v>520.29399999999998</v>
      </c>
      <c r="P98" s="399">
        <v>520.29399999999998</v>
      </c>
      <c r="Q98" s="399">
        <v>520.29399999999998</v>
      </c>
      <c r="R98" s="399"/>
      <c r="S98" s="399">
        <v>395.23</v>
      </c>
      <c r="T98" s="399">
        <v>297.72000000000003</v>
      </c>
      <c r="U98" s="399"/>
      <c r="V98" s="399">
        <v>360537.72730000003</v>
      </c>
      <c r="W98" s="399">
        <v>360537.72730000003</v>
      </c>
      <c r="X98" s="399">
        <v>319538.5601</v>
      </c>
      <c r="Y98" s="399">
        <v>0</v>
      </c>
      <c r="Z98" s="399">
        <v>31535.861342470056</v>
      </c>
      <c r="AA98" s="399">
        <v>0</v>
      </c>
      <c r="AB98" s="399">
        <v>0</v>
      </c>
      <c r="AC98" s="399">
        <v>0</v>
      </c>
      <c r="AD98" s="399">
        <v>51715.924517706706</v>
      </c>
      <c r="AE98" s="399">
        <v>104134.14221466644</v>
      </c>
      <c r="AF98" s="399">
        <v>154903.93644156563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4875.6164916113676</v>
      </c>
      <c r="AM98" s="399"/>
      <c r="AN98" s="399">
        <v>463.26298068623498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12910.473099250386</v>
      </c>
      <c r="BH98" s="399">
        <v>0</v>
      </c>
      <c r="BI98" s="399">
        <v>0.49</v>
      </c>
      <c r="BJ98" s="399">
        <v>2.33</v>
      </c>
      <c r="BK98" s="399">
        <v>92771.17</v>
      </c>
      <c r="BL98" s="399">
        <v>945</v>
      </c>
      <c r="BM98" s="399"/>
      <c r="BN98" s="399"/>
      <c r="BO98" s="399"/>
      <c r="BP98" s="399"/>
      <c r="BQ98" s="399"/>
      <c r="BR98" s="399">
        <v>38345.667799999996</v>
      </c>
      <c r="BS98" s="399"/>
      <c r="BT98" s="399"/>
      <c r="BU98" s="399"/>
      <c r="BV98" s="399">
        <v>167814.40954081601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281190.73049999995</v>
      </c>
      <c r="CJ98" s="399">
        <v>-36084.58070000005</v>
      </c>
      <c r="CK98" s="399"/>
      <c r="CL98" s="399"/>
      <c r="CM98" s="399"/>
      <c r="CN98" s="399"/>
      <c r="CO98" s="399">
        <v>-47648.524520000021</v>
      </c>
      <c r="CP98" s="399">
        <v>6649.3573199999855</v>
      </c>
      <c r="CQ98" s="399">
        <v>31</v>
      </c>
      <c r="CR98" s="399">
        <v>12832.516948993783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-398.55129650095478</v>
      </c>
      <c r="DA98" s="399">
        <v>0</v>
      </c>
      <c r="DB98" s="399">
        <v>0</v>
      </c>
      <c r="DC98" s="399">
        <v>6646.9872681369307</v>
      </c>
      <c r="DD98" s="399">
        <v>0</v>
      </c>
      <c r="DE98" s="399">
        <v>0</v>
      </c>
      <c r="DF98" s="399">
        <v>0</v>
      </c>
      <c r="DG98" s="399">
        <v>553.99334766880202</v>
      </c>
      <c r="DH98" s="399">
        <v>0</v>
      </c>
      <c r="DI98" s="399">
        <v>5264.8142141340541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710.05122266575108</v>
      </c>
      <c r="DP98" s="399">
        <v>55.222192889186999</v>
      </c>
      <c r="DQ98" s="399">
        <v>0</v>
      </c>
      <c r="DR98" s="399">
        <v>0</v>
      </c>
      <c r="DS98" s="399"/>
      <c r="DT98" s="399"/>
      <c r="DU98" s="399"/>
      <c r="DV98" s="399">
        <v>104134.14221466644</v>
      </c>
      <c r="DW98" s="399">
        <v>0</v>
      </c>
      <c r="DX98" s="399">
        <v>0</v>
      </c>
      <c r="DY98" s="399">
        <v>-47648.524520000006</v>
      </c>
      <c r="DZ98" s="399">
        <v>6649.357319999981</v>
      </c>
      <c r="EA98" s="399">
        <v>0</v>
      </c>
      <c r="EB98" s="399">
        <v>0</v>
      </c>
      <c r="EC98" s="399">
        <v>-53835.897056587921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232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7" customFormat="1">
      <c r="A99" s="399">
        <v>98</v>
      </c>
      <c r="B99" s="399" t="s">
        <v>2330</v>
      </c>
      <c r="C99" s="399" t="s">
        <v>2328</v>
      </c>
      <c r="D99" s="399" t="s">
        <v>2335</v>
      </c>
      <c r="E99" s="399" t="s">
        <v>894</v>
      </c>
      <c r="F99" s="399" t="s">
        <v>1239</v>
      </c>
      <c r="G99" s="399" t="s">
        <v>1239</v>
      </c>
      <c r="H99" s="399" t="s">
        <v>1239</v>
      </c>
      <c r="I99" s="399" t="s">
        <v>1239</v>
      </c>
      <c r="J99" s="399" t="s">
        <v>2326</v>
      </c>
      <c r="K99" s="788">
        <v>44562</v>
      </c>
      <c r="L99" s="399">
        <v>0</v>
      </c>
      <c r="M99" s="399">
        <v>0</v>
      </c>
      <c r="N99" s="399">
        <v>51.01</v>
      </c>
      <c r="O99" s="399">
        <v>51.01</v>
      </c>
      <c r="P99" s="399">
        <v>51.01</v>
      </c>
      <c r="Q99" s="399">
        <v>51.01</v>
      </c>
      <c r="R99" s="399"/>
      <c r="S99" s="399">
        <v>395.23</v>
      </c>
      <c r="T99" s="399">
        <v>297.72000000000003</v>
      </c>
      <c r="U99" s="399"/>
      <c r="V99" s="399">
        <v>35347.379500000003</v>
      </c>
      <c r="W99" s="399">
        <v>35347.379500000003</v>
      </c>
      <c r="X99" s="399">
        <v>31327.791499999999</v>
      </c>
      <c r="Y99" s="399">
        <v>0</v>
      </c>
      <c r="Z99" s="399">
        <v>3091.7986505310414</v>
      </c>
      <c r="AA99" s="399">
        <v>0</v>
      </c>
      <c r="AB99" s="399">
        <v>0</v>
      </c>
      <c r="AC99" s="399">
        <v>0</v>
      </c>
      <c r="AD99" s="399">
        <v>5070.2666370325605</v>
      </c>
      <c r="AE99" s="399">
        <v>10209.386605208085</v>
      </c>
      <c r="AF99" s="399">
        <v>15186.893944355043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478.00896654025587</v>
      </c>
      <c r="AM99" s="399"/>
      <c r="AN99" s="399">
        <v>45.418637625659429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1265.752118595952</v>
      </c>
      <c r="BH99" s="399">
        <v>0</v>
      </c>
      <c r="BI99" s="399">
        <v>0</v>
      </c>
      <c r="BJ99" s="399">
        <v>0</v>
      </c>
      <c r="BK99" s="399">
        <v>20696.11</v>
      </c>
      <c r="BL99" s="399">
        <v>22</v>
      </c>
      <c r="BM99" s="399"/>
      <c r="BN99" s="399"/>
      <c r="BO99" s="399"/>
      <c r="BP99" s="399"/>
      <c r="BQ99" s="399"/>
      <c r="BR99" s="399">
        <v>3759.436999999999</v>
      </c>
      <c r="BS99" s="399"/>
      <c r="BT99" s="399"/>
      <c r="BU99" s="399"/>
      <c r="BV99" s="399">
        <v>16452.646062950993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27568.354500000001</v>
      </c>
      <c r="CJ99" s="399">
        <v>-3537.5734999999913</v>
      </c>
      <c r="CK99" s="399"/>
      <c r="CL99" s="399"/>
      <c r="CM99" s="399"/>
      <c r="CN99" s="399"/>
      <c r="CO99" s="399">
        <v>-4671.4958000000015</v>
      </c>
      <c r="CP99" s="399">
        <v>651.90779999999859</v>
      </c>
      <c r="CQ99" s="399">
        <v>31</v>
      </c>
      <c r="CR99" s="399">
        <v>1258.1092412523903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-39.074257313199269</v>
      </c>
      <c r="DA99" s="399">
        <v>0</v>
      </c>
      <c r="DB99" s="399">
        <v>0</v>
      </c>
      <c r="DC99" s="399">
        <v>651.67543840149119</v>
      </c>
      <c r="DD99" s="399">
        <v>0</v>
      </c>
      <c r="DE99" s="399">
        <v>0</v>
      </c>
      <c r="DF99" s="399">
        <v>0</v>
      </c>
      <c r="DG99" s="399">
        <v>54.313908414445677</v>
      </c>
      <c r="DH99" s="399">
        <v>0</v>
      </c>
      <c r="DI99" s="399">
        <v>516.16619269677904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69.613935329217611</v>
      </c>
      <c r="DP99" s="399">
        <v>5.4140237236589854</v>
      </c>
      <c r="DQ99" s="399">
        <v>0</v>
      </c>
      <c r="DR99" s="399">
        <v>0</v>
      </c>
      <c r="DS99" s="399"/>
      <c r="DT99" s="399"/>
      <c r="DU99" s="399"/>
      <c r="DV99" s="399">
        <v>10209.386605208085</v>
      </c>
      <c r="DW99" s="399">
        <v>0</v>
      </c>
      <c r="DX99" s="399">
        <v>0</v>
      </c>
      <c r="DY99" s="399">
        <v>-4671.4958000000024</v>
      </c>
      <c r="DZ99" s="399">
        <v>651.90779999999904</v>
      </c>
      <c r="EA99" s="399">
        <v>0</v>
      </c>
      <c r="EB99" s="399">
        <v>0</v>
      </c>
      <c r="EC99" s="399">
        <v>-5278.1102777594015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232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7" customFormat="1">
      <c r="A100" s="399">
        <v>99</v>
      </c>
      <c r="B100" s="399" t="s">
        <v>956</v>
      </c>
      <c r="C100" s="399" t="s">
        <v>2328</v>
      </c>
      <c r="D100" s="399" t="s">
        <v>1824</v>
      </c>
      <c r="E100" s="399" t="s">
        <v>2336</v>
      </c>
      <c r="F100" s="399" t="s">
        <v>1239</v>
      </c>
      <c r="G100" s="399" t="s">
        <v>1239</v>
      </c>
      <c r="H100" s="399" t="s">
        <v>1239</v>
      </c>
      <c r="I100" s="399" t="s">
        <v>1239</v>
      </c>
      <c r="J100" s="399" t="s">
        <v>2326</v>
      </c>
      <c r="K100" s="788">
        <v>44562</v>
      </c>
      <c r="L100" s="399">
        <v>0</v>
      </c>
      <c r="M100" s="399">
        <v>0</v>
      </c>
      <c r="N100" s="399">
        <v>0.82899999999999996</v>
      </c>
      <c r="O100" s="399">
        <v>0.82899999999999996</v>
      </c>
      <c r="P100" s="399">
        <v>0.82899999999999996</v>
      </c>
      <c r="Q100" s="399">
        <v>0.82899999999999996</v>
      </c>
      <c r="R100" s="399"/>
      <c r="S100" s="399">
        <v>395.23</v>
      </c>
      <c r="T100" s="399">
        <v>297.72000000000003</v>
      </c>
      <c r="U100" s="399"/>
      <c r="V100" s="399">
        <v>574.45555000000002</v>
      </c>
      <c r="W100" s="399">
        <v>574.45555000000002</v>
      </c>
      <c r="X100" s="399">
        <v>509.13034999999996</v>
      </c>
      <c r="Y100" s="399">
        <v>0</v>
      </c>
      <c r="Z100" s="399">
        <v>50.247031587732465</v>
      </c>
      <c r="AA100" s="399">
        <v>0</v>
      </c>
      <c r="AB100" s="399">
        <v>0</v>
      </c>
      <c r="AC100" s="399">
        <v>0</v>
      </c>
      <c r="AD100" s="399">
        <v>82.400530133307058</v>
      </c>
      <c r="AE100" s="399">
        <v>165.92004500524411</v>
      </c>
      <c r="AF100" s="399">
        <v>246.81307743325485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7.7684656589271137</v>
      </c>
      <c r="AM100" s="399"/>
      <c r="AN100" s="399">
        <v>0.7381307702739005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20.570643134994004</v>
      </c>
      <c r="BH100" s="399">
        <v>0</v>
      </c>
      <c r="BI100" s="399">
        <v>0</v>
      </c>
      <c r="BJ100" s="399">
        <v>0</v>
      </c>
      <c r="BK100" s="399">
        <v>203.63</v>
      </c>
      <c r="BL100" s="399">
        <v>17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267.38372056824886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509.7444999999999</v>
      </c>
      <c r="CJ100" s="399">
        <v>-64.741050000000087</v>
      </c>
      <c r="CK100" s="399"/>
      <c r="CL100" s="399"/>
      <c r="CM100" s="399"/>
      <c r="CN100" s="399"/>
      <c r="CO100" s="399">
        <v>-75.91982000000003</v>
      </c>
      <c r="CP100" s="399">
        <v>10.594619999999978</v>
      </c>
      <c r="CQ100" s="399">
        <v>31</v>
      </c>
      <c r="CR100" s="399">
        <v>20.446433267952045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-0.6350237073640983</v>
      </c>
      <c r="DA100" s="399">
        <v>0</v>
      </c>
      <c r="DB100" s="399">
        <v>0</v>
      </c>
      <c r="DC100" s="399">
        <v>10.590843725442795</v>
      </c>
      <c r="DD100" s="399">
        <v>0</v>
      </c>
      <c r="DE100" s="399">
        <v>0</v>
      </c>
      <c r="DF100" s="399">
        <v>0</v>
      </c>
      <c r="DG100" s="399">
        <v>0.88269417909381431</v>
      </c>
      <c r="DH100" s="399">
        <v>0</v>
      </c>
      <c r="DI100" s="399">
        <v>8.38858603696589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1.1313458613589775</v>
      </c>
      <c r="DP100" s="399">
        <v>8.7987172454681351E-2</v>
      </c>
      <c r="DQ100" s="399">
        <v>0</v>
      </c>
      <c r="DR100" s="399">
        <v>0</v>
      </c>
      <c r="DS100" s="399"/>
      <c r="DT100" s="399"/>
      <c r="DU100" s="399"/>
      <c r="DV100" s="399">
        <v>165.92004500524411</v>
      </c>
      <c r="DW100" s="399">
        <v>0</v>
      </c>
      <c r="DX100" s="399">
        <v>0</v>
      </c>
      <c r="DY100" s="399">
        <v>-75.919820000000016</v>
      </c>
      <c r="DZ100" s="399">
        <v>10.594619999999964</v>
      </c>
      <c r="EA100" s="399">
        <v>0</v>
      </c>
      <c r="EB100" s="399">
        <v>0</v>
      </c>
      <c r="EC100" s="399">
        <v>-85.778345819693072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232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7" customFormat="1">
      <c r="A101" s="399">
        <v>100</v>
      </c>
      <c r="B101" s="399" t="s">
        <v>956</v>
      </c>
      <c r="C101" s="399" t="s">
        <v>2328</v>
      </c>
      <c r="D101" s="399" t="s">
        <v>2337</v>
      </c>
      <c r="E101" s="399" t="s">
        <v>2338</v>
      </c>
      <c r="F101" s="399" t="s">
        <v>2339</v>
      </c>
      <c r="G101" s="399" t="s">
        <v>1239</v>
      </c>
      <c r="H101" s="399" t="s">
        <v>1239</v>
      </c>
      <c r="I101" s="399" t="s">
        <v>1239</v>
      </c>
      <c r="J101" s="399" t="s">
        <v>2326</v>
      </c>
      <c r="K101" s="788">
        <v>44562</v>
      </c>
      <c r="L101" s="399">
        <v>0</v>
      </c>
      <c r="M101" s="399">
        <v>0</v>
      </c>
      <c r="N101" s="399">
        <v>21.123999999999999</v>
      </c>
      <c r="O101" s="399">
        <v>21.123999999999999</v>
      </c>
      <c r="P101" s="399">
        <v>21.123999999999999</v>
      </c>
      <c r="Q101" s="399">
        <v>21.123999999999999</v>
      </c>
      <c r="R101" s="399"/>
      <c r="S101" s="399">
        <v>217.38</v>
      </c>
      <c r="T101" s="399">
        <v>163.75</v>
      </c>
      <c r="U101" s="399"/>
      <c r="V101" s="399">
        <v>8050.9901199999986</v>
      </c>
      <c r="W101" s="399">
        <v>8050.9901199999986</v>
      </c>
      <c r="X101" s="399">
        <v>7135.2647199999992</v>
      </c>
      <c r="Y101" s="399">
        <v>0</v>
      </c>
      <c r="Z101" s="399">
        <v>704.1979039717653</v>
      </c>
      <c r="AA101" s="399">
        <v>0</v>
      </c>
      <c r="AB101" s="399">
        <v>0</v>
      </c>
      <c r="AC101" s="399">
        <v>0</v>
      </c>
      <c r="AD101" s="399">
        <v>1154.8200714050517</v>
      </c>
      <c r="AE101" s="399">
        <v>2325.3223967188533</v>
      </c>
      <c r="AF101" s="399">
        <v>3459.0153151206755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108.87284405132318</v>
      </c>
      <c r="AM101" s="399"/>
      <c r="AN101" s="399">
        <v>10.34469350445865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288.29173229310902</v>
      </c>
      <c r="BH101" s="399">
        <v>0</v>
      </c>
      <c r="BI101" s="399">
        <v>0</v>
      </c>
      <c r="BJ101" s="399">
        <v>0</v>
      </c>
      <c r="BK101" s="399">
        <v>3378.28</v>
      </c>
      <c r="BL101" s="399">
        <v>1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3747.3070474137844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7133.9135999999999</v>
      </c>
      <c r="CJ101" s="399">
        <v>-917.10651999999936</v>
      </c>
      <c r="CK101" s="399"/>
      <c r="CL101" s="399"/>
      <c r="CM101" s="399"/>
      <c r="CN101" s="399"/>
      <c r="CO101" s="399">
        <v>-1064.0158799999999</v>
      </c>
      <c r="CP101" s="399">
        <v>148.2904800000002</v>
      </c>
      <c r="CQ101" s="399">
        <v>31</v>
      </c>
      <c r="CR101" s="399">
        <v>286.55096621679695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-8.8996772459556723</v>
      </c>
      <c r="DA101" s="399">
        <v>0</v>
      </c>
      <c r="DB101" s="399">
        <v>0</v>
      </c>
      <c r="DC101" s="399">
        <v>148.42767258256117</v>
      </c>
      <c r="DD101" s="399">
        <v>0</v>
      </c>
      <c r="DE101" s="399">
        <v>0</v>
      </c>
      <c r="DF101" s="399">
        <v>0</v>
      </c>
      <c r="DG101" s="399">
        <v>12.370708699092631</v>
      </c>
      <c r="DH101" s="399">
        <v>0</v>
      </c>
      <c r="DI101" s="399">
        <v>117.56365536149156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15.855491539736178</v>
      </c>
      <c r="DP101" s="399">
        <v>1.2331152798709155</v>
      </c>
      <c r="DQ101" s="399">
        <v>0</v>
      </c>
      <c r="DR101" s="399">
        <v>0</v>
      </c>
      <c r="DS101" s="399"/>
      <c r="DT101" s="399"/>
      <c r="DU101" s="399"/>
      <c r="DV101" s="399">
        <v>2325.3223967188533</v>
      </c>
      <c r="DW101" s="399">
        <v>0</v>
      </c>
      <c r="DX101" s="399">
        <v>0</v>
      </c>
      <c r="DY101" s="399">
        <v>-1064.0158799999995</v>
      </c>
      <c r="DZ101" s="399">
        <v>148.29048000000012</v>
      </c>
      <c r="EA101" s="399">
        <v>0</v>
      </c>
      <c r="EB101" s="399">
        <v>0</v>
      </c>
      <c r="EC101" s="399">
        <v>-1202.1592007266102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232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7" customFormat="1">
      <c r="A102" s="399">
        <v>101</v>
      </c>
      <c r="B102" s="399" t="s">
        <v>956</v>
      </c>
      <c r="C102" s="399" t="s">
        <v>2328</v>
      </c>
      <c r="D102" s="399" t="s">
        <v>1824</v>
      </c>
      <c r="E102" s="399" t="s">
        <v>921</v>
      </c>
      <c r="F102" s="399" t="s">
        <v>2327</v>
      </c>
      <c r="G102" s="399" t="s">
        <v>1239</v>
      </c>
      <c r="H102" s="399" t="s">
        <v>1239</v>
      </c>
      <c r="I102" s="399" t="s">
        <v>1239</v>
      </c>
      <c r="J102" s="399" t="s">
        <v>2326</v>
      </c>
      <c r="K102" s="788">
        <v>44562</v>
      </c>
      <c r="L102" s="399">
        <v>0</v>
      </c>
      <c r="M102" s="399">
        <v>0</v>
      </c>
      <c r="N102" s="399">
        <v>0.80200000000000005</v>
      </c>
      <c r="O102" s="399">
        <v>0.75387999999999999</v>
      </c>
      <c r="P102" s="399">
        <v>0.80200000000000005</v>
      </c>
      <c r="Q102" s="399">
        <v>0.75387999999999999</v>
      </c>
      <c r="R102" s="399"/>
      <c r="S102" s="399">
        <v>395.23</v>
      </c>
      <c r="T102" s="399">
        <v>297.72000000000003</v>
      </c>
      <c r="U102" s="399"/>
      <c r="V102" s="399">
        <v>555.74590000000012</v>
      </c>
      <c r="W102" s="399">
        <v>555.74590000000012</v>
      </c>
      <c r="X102" s="399">
        <v>492.54830000000004</v>
      </c>
      <c r="Y102" s="399">
        <v>0</v>
      </c>
      <c r="Z102" s="399">
        <v>48.610517893077734</v>
      </c>
      <c r="AA102" s="399">
        <v>0</v>
      </c>
      <c r="AB102" s="399">
        <v>0</v>
      </c>
      <c r="AC102" s="399">
        <v>0</v>
      </c>
      <c r="AD102" s="399">
        <v>79.71679754754193</v>
      </c>
      <c r="AE102" s="399">
        <v>160.51613521617102</v>
      </c>
      <c r="AF102" s="399">
        <v>238.77453329489796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7.5154516989861833</v>
      </c>
      <c r="AM102" s="399"/>
      <c r="AN102" s="399">
        <v>0.71409032299115593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19.900670439403129</v>
      </c>
      <c r="BH102" s="399">
        <v>0</v>
      </c>
      <c r="BI102" s="399">
        <v>0</v>
      </c>
      <c r="BJ102" s="399">
        <v>0</v>
      </c>
      <c r="BK102" s="399">
        <v>197.05</v>
      </c>
      <c r="BL102" s="399">
        <v>2</v>
      </c>
      <c r="BM102" s="399"/>
      <c r="BN102" s="399"/>
      <c r="BO102" s="399"/>
      <c r="BP102" s="399"/>
      <c r="BQ102" s="399">
        <v>29.552898000000031</v>
      </c>
      <c r="BR102" s="399"/>
      <c r="BS102" s="399"/>
      <c r="BT102" s="399"/>
      <c r="BU102" s="399"/>
      <c r="BV102" s="399">
        <v>258.67520373430108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460.61249999999995</v>
      </c>
      <c r="CJ102" s="399">
        <v>-61.818646000000058</v>
      </c>
      <c r="CK102" s="399"/>
      <c r="CL102" s="399"/>
      <c r="CM102" s="399"/>
      <c r="CN102" s="399"/>
      <c r="CO102" s="399">
        <v>-73.447160000000039</v>
      </c>
      <c r="CP102" s="399">
        <v>10.249559999999979</v>
      </c>
      <c r="CQ102" s="399">
        <v>31</v>
      </c>
      <c r="CR102" s="399">
        <v>19.780506008320231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-0.61434139120144948</v>
      </c>
      <c r="DA102" s="399">
        <v>0</v>
      </c>
      <c r="DB102" s="399">
        <v>0</v>
      </c>
      <c r="DC102" s="399">
        <v>10.245906716290847</v>
      </c>
      <c r="DD102" s="399">
        <v>0</v>
      </c>
      <c r="DE102" s="399">
        <v>0</v>
      </c>
      <c r="DF102" s="399">
        <v>0</v>
      </c>
      <c r="DG102" s="399">
        <v>0.85394539400872915</v>
      </c>
      <c r="DH102" s="399">
        <v>0</v>
      </c>
      <c r="DI102" s="399">
        <v>8.1153751527703761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1.0944986499516283</v>
      </c>
      <c r="DP102" s="399">
        <v>8.5121486500186361E-2</v>
      </c>
      <c r="DQ102" s="399">
        <v>0</v>
      </c>
      <c r="DR102" s="399">
        <v>0</v>
      </c>
      <c r="DS102" s="399"/>
      <c r="DT102" s="399"/>
      <c r="DU102" s="399"/>
      <c r="DV102" s="399">
        <v>160.51613521617102</v>
      </c>
      <c r="DW102" s="399">
        <v>0</v>
      </c>
      <c r="DX102" s="399">
        <v>0</v>
      </c>
      <c r="DY102" s="399">
        <v>-73.447160000000025</v>
      </c>
      <c r="DZ102" s="399">
        <v>10.249559999999974</v>
      </c>
      <c r="EA102" s="399">
        <v>0</v>
      </c>
      <c r="EB102" s="399">
        <v>0</v>
      </c>
      <c r="EC102" s="399">
        <v>-82.984599936542637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232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7" customFormat="1">
      <c r="A103" s="399">
        <v>102</v>
      </c>
      <c r="B103" s="399" t="s">
        <v>956</v>
      </c>
      <c r="C103" s="399" t="s">
        <v>2328</v>
      </c>
      <c r="D103" s="399" t="s">
        <v>2335</v>
      </c>
      <c r="E103" s="399" t="s">
        <v>894</v>
      </c>
      <c r="F103" s="399" t="s">
        <v>2367</v>
      </c>
      <c r="G103" s="399" t="s">
        <v>2368</v>
      </c>
      <c r="H103" s="399" t="s">
        <v>1239</v>
      </c>
      <c r="I103" s="399" t="s">
        <v>1239</v>
      </c>
      <c r="J103" s="399" t="s">
        <v>2326</v>
      </c>
      <c r="K103" s="788">
        <v>44562</v>
      </c>
      <c r="L103" s="399">
        <v>0</v>
      </c>
      <c r="M103" s="399">
        <v>0</v>
      </c>
      <c r="N103" s="399">
        <v>0</v>
      </c>
      <c r="O103" s="399">
        <v>0</v>
      </c>
      <c r="P103" s="399">
        <v>0</v>
      </c>
      <c r="Q103" s="399">
        <v>0</v>
      </c>
      <c r="R103" s="399"/>
      <c r="S103" s="399"/>
      <c r="T103" s="399"/>
      <c r="U103" s="399"/>
      <c r="V103" s="399"/>
      <c r="W103" s="399"/>
      <c r="X103" s="399"/>
      <c r="Y103" s="399"/>
      <c r="Z103" s="399"/>
      <c r="AA103" s="399">
        <v>0</v>
      </c>
      <c r="AB103" s="399"/>
      <c r="AC103" s="399"/>
      <c r="AD103" s="399"/>
      <c r="AE103" s="399"/>
      <c r="AF103" s="399"/>
      <c r="AG103" s="399"/>
      <c r="AH103" s="399"/>
      <c r="AI103" s="399"/>
      <c r="AJ103" s="399"/>
      <c r="AK103" s="399"/>
      <c r="AL103" s="399"/>
      <c r="AM103" s="399"/>
      <c r="AN103" s="399"/>
      <c r="AO103" s="399"/>
      <c r="AP103" s="399"/>
      <c r="AQ103" s="399"/>
      <c r="AR103" s="399"/>
      <c r="AS103" s="399"/>
      <c r="AT103" s="399"/>
      <c r="AU103" s="399"/>
      <c r="AV103" s="399"/>
      <c r="AW103" s="399"/>
      <c r="AX103" s="399"/>
      <c r="AY103" s="399"/>
      <c r="AZ103" s="399">
        <v>0</v>
      </c>
      <c r="BA103" s="399"/>
      <c r="BB103" s="399"/>
      <c r="BC103" s="399"/>
      <c r="BD103" s="399"/>
      <c r="BE103" s="399"/>
      <c r="BF103" s="399"/>
      <c r="BG103" s="399"/>
      <c r="BH103" s="399"/>
      <c r="BI103" s="399">
        <v>0</v>
      </c>
      <c r="BJ103" s="399">
        <v>0</v>
      </c>
      <c r="BK103" s="399">
        <v>10.050000000000001</v>
      </c>
      <c r="BL103" s="399">
        <v>1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/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/>
      <c r="CJ103" s="399">
        <v>-0.03</v>
      </c>
      <c r="CK103" s="399"/>
      <c r="CL103" s="399"/>
      <c r="CM103" s="399"/>
      <c r="CN103" s="399"/>
      <c r="CO103" s="399">
        <v>0</v>
      </c>
      <c r="CP103" s="399">
        <v>0</v>
      </c>
      <c r="CQ103" s="399">
        <v>31</v>
      </c>
      <c r="CR103" s="399"/>
      <c r="CS103" s="399"/>
      <c r="CT103" s="399"/>
      <c r="CU103" s="399"/>
      <c r="CV103" s="399"/>
      <c r="CW103" s="399"/>
      <c r="CX103" s="399"/>
      <c r="CY103" s="399"/>
      <c r="CZ103" s="399"/>
      <c r="DA103" s="399"/>
      <c r="DB103" s="399"/>
      <c r="DC103" s="399"/>
      <c r="DD103" s="399"/>
      <c r="DE103" s="399"/>
      <c r="DF103" s="399"/>
      <c r="DG103" s="399"/>
      <c r="DH103" s="399"/>
      <c r="DI103" s="399"/>
      <c r="DJ103" s="399"/>
      <c r="DK103" s="399">
        <v>0</v>
      </c>
      <c r="DL103" s="399"/>
      <c r="DM103" s="399"/>
      <c r="DN103" s="399"/>
      <c r="DO103" s="399"/>
      <c r="DP103" s="399"/>
      <c r="DQ103" s="399"/>
      <c r="DR103" s="399"/>
      <c r="DS103" s="399"/>
      <c r="DT103" s="399"/>
      <c r="DU103" s="399"/>
      <c r="DV103" s="399"/>
      <c r="DW103" s="399"/>
      <c r="DX103" s="399"/>
      <c r="DY103" s="399"/>
      <c r="DZ103" s="399"/>
      <c r="EA103" s="399"/>
      <c r="EB103" s="399"/>
      <c r="EC103" s="399"/>
      <c r="ED103" s="399"/>
      <c r="EE103" s="399"/>
      <c r="EF103" s="399"/>
      <c r="EG103" s="399"/>
      <c r="EH103" s="399"/>
      <c r="EI103" s="399"/>
      <c r="EJ103" s="399"/>
      <c r="EK103" s="399"/>
      <c r="EL103" s="399"/>
      <c r="EM103" s="399"/>
      <c r="EN103" s="399"/>
      <c r="EO103" s="399"/>
      <c r="EP103" s="399"/>
      <c r="EQ103" s="399"/>
      <c r="ER103" s="399"/>
      <c r="ES103" s="399"/>
      <c r="ET103" s="399"/>
      <c r="EU103" s="399"/>
      <c r="EV103" s="399">
        <v>232</v>
      </c>
      <c r="EW103" s="399"/>
      <c r="EX103" s="399"/>
      <c r="EY103" s="399"/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7" customFormat="1">
      <c r="A104" s="399">
        <v>103</v>
      </c>
      <c r="B104" s="399" t="s">
        <v>956</v>
      </c>
      <c r="C104" s="399" t="s">
        <v>2328</v>
      </c>
      <c r="D104" s="399" t="s">
        <v>2335</v>
      </c>
      <c r="E104" s="399" t="s">
        <v>894</v>
      </c>
      <c r="F104" s="399" t="s">
        <v>2367</v>
      </c>
      <c r="G104" s="399" t="s">
        <v>2368</v>
      </c>
      <c r="H104" s="399" t="s">
        <v>1239</v>
      </c>
      <c r="I104" s="399" t="s">
        <v>1239</v>
      </c>
      <c r="J104" s="399" t="s">
        <v>2326</v>
      </c>
      <c r="K104" s="788">
        <v>44562</v>
      </c>
      <c r="L104" s="399">
        <v>0</v>
      </c>
      <c r="M104" s="399">
        <v>0</v>
      </c>
      <c r="N104" s="399">
        <v>0.1</v>
      </c>
      <c r="O104" s="399">
        <v>0.1</v>
      </c>
      <c r="P104" s="399">
        <v>0.1</v>
      </c>
      <c r="Q104" s="399">
        <v>0.1</v>
      </c>
      <c r="R104" s="399"/>
      <c r="S104" s="399">
        <v>395.23</v>
      </c>
      <c r="T104" s="399">
        <v>297.72000000000003</v>
      </c>
      <c r="U104" s="399"/>
      <c r="V104" s="399">
        <v>69.295000000000016</v>
      </c>
      <c r="W104" s="399">
        <v>69.295000000000016</v>
      </c>
      <c r="X104" s="399">
        <v>61.414999999999999</v>
      </c>
      <c r="Y104" s="399">
        <v>0</v>
      </c>
      <c r="Z104" s="399">
        <v>6.0611618320545801</v>
      </c>
      <c r="AA104" s="399">
        <v>0</v>
      </c>
      <c r="AB104" s="399">
        <v>0</v>
      </c>
      <c r="AC104" s="399">
        <v>0</v>
      </c>
      <c r="AD104" s="399">
        <v>9.9397503176486204</v>
      </c>
      <c r="AE104" s="399">
        <v>20.014480700270703</v>
      </c>
      <c r="AF104" s="399">
        <v>29.772385697618201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0.937088740521968</v>
      </c>
      <c r="AM104" s="399"/>
      <c r="AN104" s="399">
        <v>8.9038693639794997E-2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2.4813803540402901</v>
      </c>
      <c r="BH104" s="399">
        <v>0</v>
      </c>
      <c r="BI104" s="399">
        <v>0</v>
      </c>
      <c r="BJ104" s="399">
        <v>0</v>
      </c>
      <c r="BK104" s="399">
        <v>0</v>
      </c>
      <c r="BL104" s="399">
        <v>0</v>
      </c>
      <c r="BM104" s="399"/>
      <c r="BN104" s="399"/>
      <c r="BO104" s="399"/>
      <c r="BP104" s="399"/>
      <c r="BQ104" s="399"/>
      <c r="BR104" s="399">
        <v>8.5849999999999973</v>
      </c>
      <c r="BS104" s="399"/>
      <c r="BT104" s="399"/>
      <c r="BU104" s="399"/>
      <c r="BV104" s="399">
        <v>32.253766051658488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52.83</v>
      </c>
      <c r="CJ104" s="399">
        <v>-6.5990000000000038</v>
      </c>
      <c r="CK104" s="399"/>
      <c r="CL104" s="399"/>
      <c r="CM104" s="399"/>
      <c r="CN104" s="399"/>
      <c r="CO104" s="399">
        <v>-9.1580000000000048</v>
      </c>
      <c r="CP104" s="399">
        <v>1.2779999999999974</v>
      </c>
      <c r="CQ104" s="399">
        <v>31</v>
      </c>
      <c r="CR104" s="399">
        <v>2.4663972578952951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-7.6601170972748989E-2</v>
      </c>
      <c r="DA104" s="399">
        <v>0</v>
      </c>
      <c r="DB104" s="399">
        <v>0</v>
      </c>
      <c r="DC104" s="399">
        <v>1.2775444783405021</v>
      </c>
      <c r="DD104" s="399">
        <v>0</v>
      </c>
      <c r="DE104" s="399">
        <v>0</v>
      </c>
      <c r="DF104" s="399">
        <v>0</v>
      </c>
      <c r="DG104" s="399">
        <v>0.10647698179660026</v>
      </c>
      <c r="DH104" s="399">
        <v>0</v>
      </c>
      <c r="DI104" s="399">
        <v>1.0118921636870795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0.13647115336055216</v>
      </c>
      <c r="DP104" s="399">
        <v>1.0613651683315017E-2</v>
      </c>
      <c r="DQ104" s="399">
        <v>0</v>
      </c>
      <c r="DR104" s="399">
        <v>0</v>
      </c>
      <c r="DS104" s="399"/>
      <c r="DT104" s="399"/>
      <c r="DU104" s="399"/>
      <c r="DV104" s="399">
        <v>20.014480700270703</v>
      </c>
      <c r="DW104" s="399">
        <v>0</v>
      </c>
      <c r="DX104" s="399">
        <v>0</v>
      </c>
      <c r="DY104" s="399">
        <v>-9.1580000000000048</v>
      </c>
      <c r="DZ104" s="399">
        <v>1.2779999999999951</v>
      </c>
      <c r="EA104" s="399">
        <v>0</v>
      </c>
      <c r="EB104" s="399">
        <v>0</v>
      </c>
      <c r="EC104" s="399">
        <v>-10.347206974631252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232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7" customFormat="1">
      <c r="A105" s="399">
        <v>105</v>
      </c>
      <c r="B105" s="399" t="s">
        <v>956</v>
      </c>
      <c r="C105" s="399" t="s">
        <v>2328</v>
      </c>
      <c r="D105" s="399" t="s">
        <v>1821</v>
      </c>
      <c r="E105" s="399" t="s">
        <v>889</v>
      </c>
      <c r="F105" s="399" t="s">
        <v>889</v>
      </c>
      <c r="G105" s="399" t="s">
        <v>1239</v>
      </c>
      <c r="H105" s="399" t="s">
        <v>1239</v>
      </c>
      <c r="I105" s="399" t="s">
        <v>1239</v>
      </c>
      <c r="J105" s="399" t="s">
        <v>2326</v>
      </c>
      <c r="K105" s="788">
        <v>44593</v>
      </c>
      <c r="L105" s="399">
        <v>0</v>
      </c>
      <c r="M105" s="399">
        <v>0</v>
      </c>
      <c r="N105" s="399">
        <v>35.936999999999998</v>
      </c>
      <c r="O105" s="399">
        <v>35.936999999999998</v>
      </c>
      <c r="P105" s="399">
        <v>35.936999999999998</v>
      </c>
      <c r="Q105" s="399">
        <v>35.936999999999998</v>
      </c>
      <c r="R105" s="399"/>
      <c r="S105" s="399">
        <v>395.23</v>
      </c>
      <c r="T105" s="399">
        <v>297.72000000000003</v>
      </c>
      <c r="U105" s="399"/>
      <c r="V105" s="399">
        <v>24902.544150000002</v>
      </c>
      <c r="W105" s="399">
        <v>24902.544150000002</v>
      </c>
      <c r="X105" s="399">
        <v>22070.708549999996</v>
      </c>
      <c r="Y105" s="399">
        <v>0</v>
      </c>
      <c r="Z105" s="399">
        <v>2178.1997275854542</v>
      </c>
      <c r="AA105" s="399">
        <v>0</v>
      </c>
      <c r="AB105" s="399">
        <v>0</v>
      </c>
      <c r="AC105" s="399">
        <v>0</v>
      </c>
      <c r="AD105" s="399">
        <v>3572.0480716533843</v>
      </c>
      <c r="AE105" s="399">
        <v>7192.6039292562818</v>
      </c>
      <c r="AF105" s="399">
        <v>10699.302248153052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336.7615806813796</v>
      </c>
      <c r="AM105" s="399"/>
      <c r="AN105" s="399">
        <v>31.997835333333125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891.73365783145903</v>
      </c>
      <c r="BH105" s="399">
        <v>0</v>
      </c>
      <c r="BI105" s="399">
        <v>0</v>
      </c>
      <c r="BJ105" s="399">
        <v>0</v>
      </c>
      <c r="BK105" s="399">
        <v>5068.16</v>
      </c>
      <c r="BL105" s="399">
        <v>262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11591.03590598451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22072.550999999999</v>
      </c>
      <c r="CJ105" s="399">
        <v>-2830.0231499999973</v>
      </c>
      <c r="CK105" s="399"/>
      <c r="CL105" s="399"/>
      <c r="CM105" s="399"/>
      <c r="CN105" s="399"/>
      <c r="CO105" s="399">
        <v>-3291.1104600000012</v>
      </c>
      <c r="CP105" s="399">
        <v>459.27485999999897</v>
      </c>
      <c r="CQ105" s="399">
        <v>29</v>
      </c>
      <c r="CR105" s="399">
        <v>886.34918256983656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-27.528162812477149</v>
      </c>
      <c r="DA105" s="399">
        <v>0</v>
      </c>
      <c r="DB105" s="399">
        <v>0</v>
      </c>
      <c r="DC105" s="399">
        <v>459.11115918122596</v>
      </c>
      <c r="DD105" s="399">
        <v>0</v>
      </c>
      <c r="DE105" s="399">
        <v>0</v>
      </c>
      <c r="DF105" s="399">
        <v>0</v>
      </c>
      <c r="DG105" s="399">
        <v>38.264632948244071</v>
      </c>
      <c r="DH105" s="399">
        <v>0</v>
      </c>
      <c r="DI105" s="399">
        <v>363.64368686422586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49.043638383181587</v>
      </c>
      <c r="DP105" s="399">
        <v>3.8142280054329127</v>
      </c>
      <c r="DQ105" s="399">
        <v>0</v>
      </c>
      <c r="DR105" s="399">
        <v>0</v>
      </c>
      <c r="DS105" s="399"/>
      <c r="DT105" s="399"/>
      <c r="DU105" s="399"/>
      <c r="DV105" s="399">
        <v>7192.6039292562818</v>
      </c>
      <c r="DW105" s="399">
        <v>0</v>
      </c>
      <c r="DX105" s="399">
        <v>0</v>
      </c>
      <c r="DY105" s="399">
        <v>-3291.1104599999999</v>
      </c>
      <c r="DZ105" s="399">
        <v>459.27485999999772</v>
      </c>
      <c r="EA105" s="399">
        <v>0</v>
      </c>
      <c r="EB105" s="399">
        <v>0</v>
      </c>
      <c r="EC105" s="399">
        <v>-3718.4757704732328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232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7" customFormat="1">
      <c r="A106" s="399">
        <v>106</v>
      </c>
      <c r="B106" s="399" t="s">
        <v>956</v>
      </c>
      <c r="C106" s="399" t="s">
        <v>2328</v>
      </c>
      <c r="D106" s="399" t="s">
        <v>1821</v>
      </c>
      <c r="E106" s="399" t="s">
        <v>889</v>
      </c>
      <c r="F106" s="399" t="s">
        <v>2331</v>
      </c>
      <c r="G106" s="399" t="s">
        <v>1239</v>
      </c>
      <c r="H106" s="399" t="s">
        <v>1239</v>
      </c>
      <c r="I106" s="399" t="s">
        <v>1239</v>
      </c>
      <c r="J106" s="399" t="s">
        <v>2326</v>
      </c>
      <c r="K106" s="788">
        <v>44593</v>
      </c>
      <c r="L106" s="399">
        <v>0</v>
      </c>
      <c r="M106" s="399">
        <v>0</v>
      </c>
      <c r="N106" s="399">
        <v>0.18</v>
      </c>
      <c r="O106" s="399">
        <v>0.18</v>
      </c>
      <c r="P106" s="399">
        <v>0.18</v>
      </c>
      <c r="Q106" s="399">
        <v>0.18</v>
      </c>
      <c r="R106" s="399"/>
      <c r="S106" s="399">
        <v>325.25</v>
      </c>
      <c r="T106" s="399">
        <v>297.72000000000003</v>
      </c>
      <c r="U106" s="399"/>
      <c r="V106" s="399">
        <v>112.13460000000001</v>
      </c>
      <c r="W106" s="399">
        <v>112.13460000000001</v>
      </c>
      <c r="X106" s="399">
        <v>95.88239999999999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17.891550571767514</v>
      </c>
      <c r="AE106" s="399">
        <v>36.026065260487258</v>
      </c>
      <c r="AF106" s="399">
        <v>53.590294255712756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0.16026964855163098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4.4664846372725222</v>
      </c>
      <c r="BH106" s="399">
        <v>0</v>
      </c>
      <c r="BI106" s="399">
        <v>0</v>
      </c>
      <c r="BJ106" s="399">
        <v>0</v>
      </c>
      <c r="BK106" s="399">
        <v>4.38</v>
      </c>
      <c r="BL106" s="399">
        <v>0</v>
      </c>
      <c r="BM106" s="399"/>
      <c r="BN106" s="399"/>
      <c r="BO106" s="399"/>
      <c r="BP106" s="399"/>
      <c r="BQ106" s="399"/>
      <c r="BR106" s="399"/>
      <c r="BS106" s="399"/>
      <c r="BT106" s="399">
        <v>62.324999999999996</v>
      </c>
      <c r="BU106" s="399"/>
      <c r="BV106" s="399">
        <v>58.056778892985278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33.557400000000001</v>
      </c>
      <c r="CJ106" s="399">
        <v>-5.7197999999999993</v>
      </c>
      <c r="CK106" s="399"/>
      <c r="CL106" s="399"/>
      <c r="CM106" s="399"/>
      <c r="CN106" s="399"/>
      <c r="CO106" s="399">
        <v>-18.552599999999998</v>
      </c>
      <c r="CP106" s="399">
        <v>2.3003999999999949</v>
      </c>
      <c r="CQ106" s="399">
        <v>29</v>
      </c>
      <c r="CR106" s="399">
        <v>2.3724610935257999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-0.13788210775094711</v>
      </c>
      <c r="DA106" s="399">
        <v>0</v>
      </c>
      <c r="DB106" s="399">
        <v>0</v>
      </c>
      <c r="DC106" s="399">
        <v>2.2995800610129038</v>
      </c>
      <c r="DD106" s="399">
        <v>0</v>
      </c>
      <c r="DE106" s="399">
        <v>0</v>
      </c>
      <c r="DF106" s="399">
        <v>0</v>
      </c>
      <c r="DG106" s="399">
        <v>0.19165856723387975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1.9104573029967015E-2</v>
      </c>
      <c r="DQ106" s="399">
        <v>0</v>
      </c>
      <c r="DR106" s="399">
        <v>0</v>
      </c>
      <c r="DS106" s="399"/>
      <c r="DT106" s="399"/>
      <c r="DU106" s="399"/>
      <c r="DV106" s="399">
        <v>36.026065260487258</v>
      </c>
      <c r="DW106" s="399">
        <v>0</v>
      </c>
      <c r="DX106" s="399">
        <v>0</v>
      </c>
      <c r="DY106" s="399">
        <v>-18.552599999999998</v>
      </c>
      <c r="DZ106" s="399">
        <v>2.3003999999999962</v>
      </c>
      <c r="EA106" s="399">
        <v>0</v>
      </c>
      <c r="EB106" s="399">
        <v>0</v>
      </c>
      <c r="EC106" s="399">
        <v>-18.624972554336249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232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7" customFormat="1">
      <c r="A107" s="399">
        <v>107</v>
      </c>
      <c r="B107" s="399" t="s">
        <v>956</v>
      </c>
      <c r="C107" s="399" t="s">
        <v>2328</v>
      </c>
      <c r="D107" s="399" t="s">
        <v>1821</v>
      </c>
      <c r="E107" s="399" t="s">
        <v>889</v>
      </c>
      <c r="F107" s="399" t="s">
        <v>2332</v>
      </c>
      <c r="G107" s="399" t="s">
        <v>1239</v>
      </c>
      <c r="H107" s="399" t="s">
        <v>1239</v>
      </c>
      <c r="I107" s="399" t="s">
        <v>1239</v>
      </c>
      <c r="J107" s="399" t="s">
        <v>2326</v>
      </c>
      <c r="K107" s="788">
        <v>44593</v>
      </c>
      <c r="L107" s="399">
        <v>0</v>
      </c>
      <c r="M107" s="399">
        <v>0</v>
      </c>
      <c r="N107" s="399">
        <v>0.42</v>
      </c>
      <c r="O107" s="399">
        <v>0.42</v>
      </c>
      <c r="P107" s="399">
        <v>0.42</v>
      </c>
      <c r="Q107" s="399">
        <v>0.42</v>
      </c>
      <c r="R107" s="399"/>
      <c r="S107" s="399">
        <v>325.25</v>
      </c>
      <c r="T107" s="399">
        <v>297.72000000000003</v>
      </c>
      <c r="U107" s="399"/>
      <c r="V107" s="399">
        <v>261.6474</v>
      </c>
      <c r="W107" s="399">
        <v>261.6474</v>
      </c>
      <c r="X107" s="399">
        <v>223.72559999999999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41.746951334124198</v>
      </c>
      <c r="AE107" s="399">
        <v>84.060818941136944</v>
      </c>
      <c r="AF107" s="399">
        <v>125.04401992999644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0.37396251328713898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10.421797486969218</v>
      </c>
      <c r="BH107" s="399">
        <v>0</v>
      </c>
      <c r="BI107" s="399">
        <v>0</v>
      </c>
      <c r="BJ107" s="399">
        <v>0</v>
      </c>
      <c r="BK107" s="399">
        <v>17.760000000000002</v>
      </c>
      <c r="BL107" s="399">
        <v>0</v>
      </c>
      <c r="BM107" s="399"/>
      <c r="BN107" s="399"/>
      <c r="BO107" s="399"/>
      <c r="BP107" s="399"/>
      <c r="BQ107" s="399"/>
      <c r="BR107" s="399"/>
      <c r="BS107" s="399"/>
      <c r="BT107" s="399">
        <v>89.489399999999989</v>
      </c>
      <c r="BU107" s="399"/>
      <c r="BV107" s="399">
        <v>135.46581741696565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134.2362</v>
      </c>
      <c r="CJ107" s="399">
        <v>-22.781399999999991</v>
      </c>
      <c r="CK107" s="399"/>
      <c r="CL107" s="399"/>
      <c r="CM107" s="399"/>
      <c r="CN107" s="399"/>
      <c r="CO107" s="399">
        <v>-43.289399999999993</v>
      </c>
      <c r="CP107" s="399">
        <v>5.3675999999999879</v>
      </c>
      <c r="CQ107" s="399">
        <v>29</v>
      </c>
      <c r="CR107" s="399">
        <v>5.5357425515602188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-0.32172491808554327</v>
      </c>
      <c r="DA107" s="399">
        <v>0</v>
      </c>
      <c r="DB107" s="399">
        <v>0</v>
      </c>
      <c r="DC107" s="399">
        <v>5.3656868090301089</v>
      </c>
      <c r="DD107" s="399">
        <v>0</v>
      </c>
      <c r="DE107" s="399">
        <v>0</v>
      </c>
      <c r="DF107" s="399">
        <v>0</v>
      </c>
      <c r="DG107" s="399">
        <v>0.44720332354572001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4.4577337069923006E-2</v>
      </c>
      <c r="DQ107" s="399">
        <v>0</v>
      </c>
      <c r="DR107" s="399">
        <v>0</v>
      </c>
      <c r="DS107" s="399"/>
      <c r="DT107" s="399"/>
      <c r="DU107" s="399"/>
      <c r="DV107" s="399">
        <v>84.060818941136944</v>
      </c>
      <c r="DW107" s="399">
        <v>0</v>
      </c>
      <c r="DX107" s="399">
        <v>0</v>
      </c>
      <c r="DY107" s="399">
        <v>-43.289399999999986</v>
      </c>
      <c r="DZ107" s="399">
        <v>5.3675999999999959</v>
      </c>
      <c r="EA107" s="399">
        <v>0</v>
      </c>
      <c r="EB107" s="399">
        <v>0</v>
      </c>
      <c r="EC107" s="399">
        <v>-43.458269293451259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232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7" customFormat="1">
      <c r="A108" s="399">
        <v>108</v>
      </c>
      <c r="B108" s="399" t="s">
        <v>956</v>
      </c>
      <c r="C108" s="399" t="s">
        <v>2328</v>
      </c>
      <c r="D108" s="399" t="s">
        <v>1821</v>
      </c>
      <c r="E108" s="399" t="s">
        <v>889</v>
      </c>
      <c r="F108" s="399" t="s">
        <v>2333</v>
      </c>
      <c r="G108" s="399" t="s">
        <v>1239</v>
      </c>
      <c r="H108" s="399" t="s">
        <v>1239</v>
      </c>
      <c r="I108" s="399" t="s">
        <v>1239</v>
      </c>
      <c r="J108" s="399" t="s">
        <v>2326</v>
      </c>
      <c r="K108" s="788">
        <v>44593</v>
      </c>
      <c r="L108" s="399">
        <v>0</v>
      </c>
      <c r="M108" s="399">
        <v>0</v>
      </c>
      <c r="N108" s="399">
        <v>0.56499999999999995</v>
      </c>
      <c r="O108" s="399">
        <v>0.56499999999999995</v>
      </c>
      <c r="P108" s="399">
        <v>0.56499999999999995</v>
      </c>
      <c r="Q108" s="399">
        <v>0.56499999999999995</v>
      </c>
      <c r="R108" s="399"/>
      <c r="S108" s="399">
        <v>325.25</v>
      </c>
      <c r="T108" s="399">
        <v>297.72000000000003</v>
      </c>
      <c r="U108" s="399"/>
      <c r="V108" s="399">
        <v>351.97805</v>
      </c>
      <c r="W108" s="399">
        <v>351.97805</v>
      </c>
      <c r="X108" s="399">
        <v>300.96419999999995</v>
      </c>
      <c r="Y108" s="399">
        <v>0</v>
      </c>
      <c r="Z108" s="399">
        <v>0</v>
      </c>
      <c r="AA108" s="399">
        <v>0</v>
      </c>
      <c r="AB108" s="399">
        <v>0</v>
      </c>
      <c r="AC108" s="399">
        <v>0</v>
      </c>
      <c r="AD108" s="399">
        <v>56.159589294714699</v>
      </c>
      <c r="AE108" s="399">
        <v>113.08181595652945</v>
      </c>
      <c r="AF108" s="399">
        <v>168.21397919154282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0</v>
      </c>
      <c r="AM108" s="399"/>
      <c r="AN108" s="399">
        <v>0.50306861906484168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14.019799000327637</v>
      </c>
      <c r="BH108" s="399">
        <v>0</v>
      </c>
      <c r="BI108" s="399">
        <v>0</v>
      </c>
      <c r="BJ108" s="399">
        <v>0</v>
      </c>
      <c r="BK108" s="399">
        <v>62.23</v>
      </c>
      <c r="BL108" s="399">
        <v>4</v>
      </c>
      <c r="BM108" s="399"/>
      <c r="BN108" s="399"/>
      <c r="BO108" s="399"/>
      <c r="BP108" s="399"/>
      <c r="BQ108" s="399"/>
      <c r="BR108" s="399"/>
      <c r="BS108" s="399"/>
      <c r="BT108" s="399">
        <v>30.097550000000002</v>
      </c>
      <c r="BU108" s="399"/>
      <c r="BV108" s="399">
        <v>182.23377819187044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273.26369999999997</v>
      </c>
      <c r="CJ108" s="399">
        <v>-43.544849999999997</v>
      </c>
      <c r="CK108" s="399"/>
      <c r="CL108" s="399"/>
      <c r="CM108" s="399"/>
      <c r="CN108" s="399"/>
      <c r="CO108" s="399">
        <v>-58.234549999999992</v>
      </c>
      <c r="CP108" s="399">
        <v>7.2206999999999839</v>
      </c>
      <c r="CQ108" s="399">
        <v>29</v>
      </c>
      <c r="CR108" s="399">
        <v>7.4468917657893314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-0.43279661599603969</v>
      </c>
      <c r="DA108" s="399">
        <v>0</v>
      </c>
      <c r="DB108" s="399">
        <v>0</v>
      </c>
      <c r="DC108" s="399">
        <v>7.2181263026238298</v>
      </c>
      <c r="DD108" s="399">
        <v>0</v>
      </c>
      <c r="DE108" s="399">
        <v>0</v>
      </c>
      <c r="DF108" s="399">
        <v>0</v>
      </c>
      <c r="DG108" s="399">
        <v>0.6015949471507902</v>
      </c>
      <c r="DH108" s="399">
        <v>0</v>
      </c>
      <c r="DI108" s="399">
        <v>0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0</v>
      </c>
      <c r="DP108" s="399">
        <v>5.9967132010729784E-2</v>
      </c>
      <c r="DQ108" s="399">
        <v>0</v>
      </c>
      <c r="DR108" s="399">
        <v>0</v>
      </c>
      <c r="DS108" s="399"/>
      <c r="DT108" s="399"/>
      <c r="DU108" s="399"/>
      <c r="DV108" s="399">
        <v>113.08181595652945</v>
      </c>
      <c r="DW108" s="399">
        <v>0</v>
      </c>
      <c r="DX108" s="399">
        <v>0</v>
      </c>
      <c r="DY108" s="399">
        <v>-58.234549999999999</v>
      </c>
      <c r="DZ108" s="399">
        <v>7.2206999999999653</v>
      </c>
      <c r="EA108" s="399">
        <v>0</v>
      </c>
      <c r="EB108" s="399">
        <v>0</v>
      </c>
      <c r="EC108" s="399">
        <v>-58.461719406666568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232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7" customFormat="1">
      <c r="A109" s="399">
        <v>109</v>
      </c>
      <c r="B109" s="399" t="s">
        <v>956</v>
      </c>
      <c r="C109" s="399" t="s">
        <v>2328</v>
      </c>
      <c r="D109" s="399" t="s">
        <v>1821</v>
      </c>
      <c r="E109" s="399" t="s">
        <v>889</v>
      </c>
      <c r="F109" s="399" t="s">
        <v>2334</v>
      </c>
      <c r="G109" s="399" t="s">
        <v>1239</v>
      </c>
      <c r="H109" s="399" t="s">
        <v>1239</v>
      </c>
      <c r="I109" s="399" t="s">
        <v>1239</v>
      </c>
      <c r="J109" s="399" t="s">
        <v>2326</v>
      </c>
      <c r="K109" s="788">
        <v>44593</v>
      </c>
      <c r="L109" s="399">
        <v>0</v>
      </c>
      <c r="M109" s="399">
        <v>0</v>
      </c>
      <c r="N109" s="399">
        <v>0.249</v>
      </c>
      <c r="O109" s="399">
        <v>0.249</v>
      </c>
      <c r="P109" s="399">
        <v>0.249</v>
      </c>
      <c r="Q109" s="399">
        <v>0.249</v>
      </c>
      <c r="R109" s="399"/>
      <c r="S109" s="399">
        <v>325.25</v>
      </c>
      <c r="T109" s="399">
        <v>297.72000000000003</v>
      </c>
      <c r="U109" s="399"/>
      <c r="V109" s="399">
        <v>155.11953</v>
      </c>
      <c r="W109" s="399">
        <v>155.11953</v>
      </c>
      <c r="X109" s="399">
        <v>132.63731999999999</v>
      </c>
      <c r="Y109" s="399">
        <v>0</v>
      </c>
      <c r="Z109" s="399">
        <v>0</v>
      </c>
      <c r="AA109" s="399">
        <v>0</v>
      </c>
      <c r="AB109" s="399">
        <v>0</v>
      </c>
      <c r="AC109" s="399">
        <v>0</v>
      </c>
      <c r="AD109" s="399">
        <v>24.749978290945062</v>
      </c>
      <c r="AE109" s="399">
        <v>49.836056943674045</v>
      </c>
      <c r="AF109" s="399">
        <v>74.133240387069321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0</v>
      </c>
      <c r="AM109" s="399"/>
      <c r="AN109" s="399">
        <v>0.22170634716308954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6.1786370815603222</v>
      </c>
      <c r="BH109" s="399">
        <v>0</v>
      </c>
      <c r="BI109" s="399">
        <v>0</v>
      </c>
      <c r="BJ109" s="399">
        <v>0</v>
      </c>
      <c r="BK109" s="399">
        <v>42.84</v>
      </c>
      <c r="BL109" s="399">
        <v>2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80.311877468629646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133.17000000000002</v>
      </c>
      <c r="CJ109" s="399">
        <v>-21.979530000000011</v>
      </c>
      <c r="CK109" s="399"/>
      <c r="CL109" s="399"/>
      <c r="CM109" s="399"/>
      <c r="CN109" s="399"/>
      <c r="CO109" s="399">
        <v>-25.664429999999999</v>
      </c>
      <c r="CP109" s="399">
        <v>3.1822199999999934</v>
      </c>
      <c r="CQ109" s="399">
        <v>29</v>
      </c>
      <c r="CR109" s="399">
        <v>3.2819045127106676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-0.19073691572214457</v>
      </c>
      <c r="DA109" s="399">
        <v>0</v>
      </c>
      <c r="DB109" s="399">
        <v>0</v>
      </c>
      <c r="DC109" s="399">
        <v>3.1810857510678403</v>
      </c>
      <c r="DD109" s="399">
        <v>0</v>
      </c>
      <c r="DE109" s="399">
        <v>0</v>
      </c>
      <c r="DF109" s="399">
        <v>0</v>
      </c>
      <c r="DG109" s="399">
        <v>0.26512768467353354</v>
      </c>
      <c r="DH109" s="399">
        <v>0</v>
      </c>
      <c r="DI109" s="399">
        <v>0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0</v>
      </c>
      <c r="DP109" s="399">
        <v>2.6427992691454377E-2</v>
      </c>
      <c r="DQ109" s="399">
        <v>0</v>
      </c>
      <c r="DR109" s="399">
        <v>0</v>
      </c>
      <c r="DS109" s="399"/>
      <c r="DT109" s="399"/>
      <c r="DU109" s="399"/>
      <c r="DV109" s="399">
        <v>49.836056943674045</v>
      </c>
      <c r="DW109" s="399">
        <v>0</v>
      </c>
      <c r="DX109" s="399">
        <v>0</v>
      </c>
      <c r="DY109" s="399">
        <v>-25.664430000000003</v>
      </c>
      <c r="DZ109" s="399">
        <v>3.1822199999999867</v>
      </c>
      <c r="EA109" s="399">
        <v>0</v>
      </c>
      <c r="EB109" s="399">
        <v>0</v>
      </c>
      <c r="EC109" s="399">
        <v>-25.764545366831815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232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7" customFormat="1">
      <c r="A110" s="399">
        <v>110</v>
      </c>
      <c r="B110" s="399" t="s">
        <v>956</v>
      </c>
      <c r="C110" s="399" t="s">
        <v>2328</v>
      </c>
      <c r="D110" s="399" t="s">
        <v>1824</v>
      </c>
      <c r="E110" s="399" t="s">
        <v>890</v>
      </c>
      <c r="F110" s="399" t="s">
        <v>1239</v>
      </c>
      <c r="G110" s="399" t="s">
        <v>1239</v>
      </c>
      <c r="H110" s="399" t="s">
        <v>1239</v>
      </c>
      <c r="I110" s="399" t="s">
        <v>1239</v>
      </c>
      <c r="J110" s="399" t="s">
        <v>2326</v>
      </c>
      <c r="K110" s="788">
        <v>44593</v>
      </c>
      <c r="L110" s="399">
        <v>0</v>
      </c>
      <c r="M110" s="399">
        <v>0</v>
      </c>
      <c r="N110" s="399">
        <v>1.248</v>
      </c>
      <c r="O110" s="399">
        <v>1.248</v>
      </c>
      <c r="P110" s="399">
        <v>1.248</v>
      </c>
      <c r="Q110" s="399">
        <v>1.248</v>
      </c>
      <c r="R110" s="399"/>
      <c r="S110" s="399">
        <v>395.23</v>
      </c>
      <c r="T110" s="399">
        <v>297.72000000000003</v>
      </c>
      <c r="U110" s="399"/>
      <c r="V110" s="399">
        <v>864.80160000000001</v>
      </c>
      <c r="W110" s="399">
        <v>864.80160000000001</v>
      </c>
      <c r="X110" s="399">
        <v>766.45920000000001</v>
      </c>
      <c r="Y110" s="399">
        <v>0</v>
      </c>
      <c r="Z110" s="399">
        <v>75.643299664041166</v>
      </c>
      <c r="AA110" s="399">
        <v>0</v>
      </c>
      <c r="AB110" s="399">
        <v>0</v>
      </c>
      <c r="AC110" s="399">
        <v>0</v>
      </c>
      <c r="AD110" s="399">
        <v>124.04808396425477</v>
      </c>
      <c r="AE110" s="399">
        <v>249.78071913937836</v>
      </c>
      <c r="AF110" s="399">
        <v>371.55937350627511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11.69486748171416</v>
      </c>
      <c r="AM110" s="399"/>
      <c r="AN110" s="399">
        <v>1.1112028966246417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30.967626818422822</v>
      </c>
      <c r="BH110" s="399">
        <v>0</v>
      </c>
      <c r="BI110" s="399">
        <v>0</v>
      </c>
      <c r="BJ110" s="399">
        <v>0</v>
      </c>
      <c r="BK110" s="399">
        <v>306.64</v>
      </c>
      <c r="BL110" s="399">
        <v>2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402.52700032469795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767.6875</v>
      </c>
      <c r="CJ110" s="399">
        <v>-97.14409999999998</v>
      </c>
      <c r="CK110" s="399"/>
      <c r="CL110" s="399"/>
      <c r="CM110" s="399"/>
      <c r="CN110" s="399"/>
      <c r="CO110" s="399">
        <v>-114.29184000000005</v>
      </c>
      <c r="CP110" s="399">
        <v>15.949439999999965</v>
      </c>
      <c r="CQ110" s="399">
        <v>29</v>
      </c>
      <c r="CR110" s="399">
        <v>30.780637778533332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-0.95598261373990567</v>
      </c>
      <c r="DA110" s="399">
        <v>0</v>
      </c>
      <c r="DB110" s="399">
        <v>0</v>
      </c>
      <c r="DC110" s="399">
        <v>15.943755089689489</v>
      </c>
      <c r="DD110" s="399">
        <v>0</v>
      </c>
      <c r="DE110" s="399">
        <v>0</v>
      </c>
      <c r="DF110" s="399">
        <v>0</v>
      </c>
      <c r="DG110" s="399">
        <v>1.3288327328215672</v>
      </c>
      <c r="DH110" s="399">
        <v>0</v>
      </c>
      <c r="DI110" s="399">
        <v>12.628414202814753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1.7031599939396891</v>
      </c>
      <c r="DP110" s="399">
        <v>0.13245837300777108</v>
      </c>
      <c r="DQ110" s="399">
        <v>0</v>
      </c>
      <c r="DR110" s="399">
        <v>0</v>
      </c>
      <c r="DS110" s="399"/>
      <c r="DT110" s="399"/>
      <c r="DU110" s="399"/>
      <c r="DV110" s="399">
        <v>249.78071913937836</v>
      </c>
      <c r="DW110" s="399">
        <v>0</v>
      </c>
      <c r="DX110" s="399">
        <v>0</v>
      </c>
      <c r="DY110" s="399">
        <v>-114.29184000000004</v>
      </c>
      <c r="DZ110" s="399">
        <v>15.949439999999981</v>
      </c>
      <c r="EA110" s="399">
        <v>0</v>
      </c>
      <c r="EB110" s="399">
        <v>0</v>
      </c>
      <c r="EC110" s="399">
        <v>-129.13314304339804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232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7" customFormat="1">
      <c r="A111" s="399">
        <v>111</v>
      </c>
      <c r="B111" s="399" t="s">
        <v>956</v>
      </c>
      <c r="C111" s="399" t="s">
        <v>2343</v>
      </c>
      <c r="D111" s="399" t="s">
        <v>533</v>
      </c>
      <c r="E111" s="399" t="s">
        <v>890</v>
      </c>
      <c r="F111" s="399" t="s">
        <v>1239</v>
      </c>
      <c r="G111" s="399" t="s">
        <v>1239</v>
      </c>
      <c r="H111" s="399" t="s">
        <v>1239</v>
      </c>
      <c r="I111" s="399" t="s">
        <v>893</v>
      </c>
      <c r="J111" s="399" t="s">
        <v>2326</v>
      </c>
      <c r="K111" s="788">
        <v>44593</v>
      </c>
      <c r="L111" s="399">
        <v>715</v>
      </c>
      <c r="M111" s="399">
        <v>715</v>
      </c>
      <c r="N111" s="399">
        <v>24.837</v>
      </c>
      <c r="O111" s="399">
        <v>24.837</v>
      </c>
      <c r="P111" s="399">
        <v>24.837</v>
      </c>
      <c r="Q111" s="399">
        <v>24.837</v>
      </c>
      <c r="R111" s="399">
        <v>78.569999999999993</v>
      </c>
      <c r="S111" s="399">
        <v>72.290000000000006</v>
      </c>
      <c r="T111" s="399">
        <v>297.72000000000003</v>
      </c>
      <c r="U111" s="399">
        <v>56177.549999999996</v>
      </c>
      <c r="V111" s="399">
        <v>9189.9383699999998</v>
      </c>
      <c r="W111" s="399">
        <v>65367.488369999999</v>
      </c>
      <c r="X111" s="399">
        <v>48010.069279999996</v>
      </c>
      <c r="Y111" s="399">
        <v>0</v>
      </c>
      <c r="Z111" s="399">
        <v>1309.7073648778357</v>
      </c>
      <c r="AA111" s="399">
        <v>0</v>
      </c>
      <c r="AB111" s="399">
        <v>0</v>
      </c>
      <c r="AC111" s="399">
        <v>0</v>
      </c>
      <c r="AD111" s="399">
        <v>21794.517656357159</v>
      </c>
      <c r="AE111" s="399">
        <v>34384.966773572196</v>
      </c>
      <c r="AF111" s="399">
        <v>7394.5674357174321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232.74473048344117</v>
      </c>
      <c r="AM111" s="399"/>
      <c r="AN111" s="399">
        <v>14.975563623234857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237.94970276544052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7632.5171384828727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48011.249599999996</v>
      </c>
      <c r="CJ111" s="399">
        <v>-17356.26877000001</v>
      </c>
      <c r="CK111" s="399"/>
      <c r="CL111" s="399"/>
      <c r="CM111" s="399"/>
      <c r="CN111" s="399"/>
      <c r="CO111" s="399">
        <v>-17674.835950000001</v>
      </c>
      <c r="CP111" s="399">
        <v>317.4168599999993</v>
      </c>
      <c r="CQ111" s="399">
        <v>29</v>
      </c>
      <c r="CR111" s="399">
        <v>413.88577005319166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-167.96051408843778</v>
      </c>
      <c r="DA111" s="399">
        <v>0</v>
      </c>
      <c r="DB111" s="399">
        <v>0</v>
      </c>
      <c r="DC111" s="399">
        <v>317.30372208543031</v>
      </c>
      <c r="DD111" s="399">
        <v>0</v>
      </c>
      <c r="DE111" s="399">
        <v>0</v>
      </c>
      <c r="DF111" s="399">
        <v>0</v>
      </c>
      <c r="DG111" s="399">
        <v>10.210512922216282</v>
      </c>
      <c r="DH111" s="399">
        <v>0</v>
      </c>
      <c r="DI111" s="399">
        <v>218.65158132461306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33.895340360160333</v>
      </c>
      <c r="DP111" s="399">
        <v>1.7851274492115525</v>
      </c>
      <c r="DQ111" s="399">
        <v>0</v>
      </c>
      <c r="DR111" s="399">
        <v>0</v>
      </c>
      <c r="DS111" s="399"/>
      <c r="DT111" s="399"/>
      <c r="DU111" s="399">
        <v>34384.966773572196</v>
      </c>
      <c r="DV111" s="399">
        <v>0</v>
      </c>
      <c r="DW111" s="399">
        <v>0</v>
      </c>
      <c r="DX111" s="399">
        <v>0</v>
      </c>
      <c r="DY111" s="399">
        <v>-17674.835950000001</v>
      </c>
      <c r="DZ111" s="399">
        <v>317.41685999999936</v>
      </c>
      <c r="EA111" s="399">
        <v>0</v>
      </c>
      <c r="EB111" s="399">
        <v>0</v>
      </c>
      <c r="EC111" s="399">
        <v>-17776.547558246544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232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7" customFormat="1">
      <c r="A112" s="399">
        <v>112</v>
      </c>
      <c r="B112" s="399" t="s">
        <v>956</v>
      </c>
      <c r="C112" s="399" t="s">
        <v>2343</v>
      </c>
      <c r="D112" s="399" t="s">
        <v>533</v>
      </c>
      <c r="E112" s="399" t="s">
        <v>890</v>
      </c>
      <c r="F112" s="399" t="s">
        <v>1239</v>
      </c>
      <c r="G112" s="399" t="s">
        <v>1239</v>
      </c>
      <c r="H112" s="399" t="s">
        <v>1239</v>
      </c>
      <c r="I112" s="399" t="s">
        <v>2323</v>
      </c>
      <c r="J112" s="399" t="s">
        <v>2326</v>
      </c>
      <c r="K112" s="788">
        <v>44593</v>
      </c>
      <c r="L112" s="399">
        <v>715</v>
      </c>
      <c r="M112" s="399">
        <v>715</v>
      </c>
      <c r="N112" s="399">
        <v>181.595</v>
      </c>
      <c r="O112" s="399">
        <v>181.595</v>
      </c>
      <c r="P112" s="399">
        <v>181.595</v>
      </c>
      <c r="Q112" s="399">
        <v>181.595</v>
      </c>
      <c r="R112" s="399">
        <v>25.76</v>
      </c>
      <c r="S112" s="399">
        <v>72.290000000000006</v>
      </c>
      <c r="T112" s="399">
        <v>297.72000000000003</v>
      </c>
      <c r="U112" s="399">
        <v>18418.400000000001</v>
      </c>
      <c r="V112" s="399">
        <v>67191.965950000013</v>
      </c>
      <c r="W112" s="399">
        <v>85610.365950000007</v>
      </c>
      <c r="X112" s="399">
        <v>84831.536800000002</v>
      </c>
      <c r="Y112" s="399">
        <v>0</v>
      </c>
      <c r="Z112" s="399">
        <v>9575.8871411599866</v>
      </c>
      <c r="AA112" s="399">
        <v>0</v>
      </c>
      <c r="AB112" s="399">
        <v>0</v>
      </c>
      <c r="AC112" s="399">
        <v>0</v>
      </c>
      <c r="AD112" s="399">
        <v>8809.0697848288128</v>
      </c>
      <c r="AE112" s="399">
        <v>9608.3573567757503</v>
      </c>
      <c r="AF112" s="399">
        <v>54065.163807589772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1701.7062983508677</v>
      </c>
      <c r="AM112" s="399"/>
      <c r="AN112" s="399">
        <v>109.49339598829704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1739.7623011511121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55804.926108740881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84833.503999999986</v>
      </c>
      <c r="CJ112" s="399">
        <v>-776.89195000001928</v>
      </c>
      <c r="CK112" s="399"/>
      <c r="CL112" s="399"/>
      <c r="CM112" s="399"/>
      <c r="CN112" s="399"/>
      <c r="CO112" s="399">
        <v>-3099.613250000004</v>
      </c>
      <c r="CP112" s="399">
        <v>2320.7840999999949</v>
      </c>
      <c r="CQ112" s="399">
        <v>29</v>
      </c>
      <c r="CR112" s="399">
        <v>4186.2645842493948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-67.88752625912457</v>
      </c>
      <c r="DA112" s="399">
        <v>0</v>
      </c>
      <c r="DB112" s="399">
        <v>0</v>
      </c>
      <c r="DC112" s="399">
        <v>2319.9568954424321</v>
      </c>
      <c r="DD112" s="399">
        <v>0</v>
      </c>
      <c r="DE112" s="399">
        <v>0</v>
      </c>
      <c r="DF112" s="399">
        <v>0</v>
      </c>
      <c r="DG112" s="399">
        <v>74.653866977085272</v>
      </c>
      <c r="DH112" s="399">
        <v>0</v>
      </c>
      <c r="DI112" s="399">
        <v>1598.6646499433537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247.82479094509449</v>
      </c>
      <c r="DP112" s="399">
        <v>13.051907200530337</v>
      </c>
      <c r="DQ112" s="399">
        <v>0</v>
      </c>
      <c r="DR112" s="399">
        <v>0</v>
      </c>
      <c r="DS112" s="399"/>
      <c r="DT112" s="399"/>
      <c r="DU112" s="399">
        <v>9608.3573567757503</v>
      </c>
      <c r="DV112" s="399">
        <v>0</v>
      </c>
      <c r="DW112" s="399">
        <v>0</v>
      </c>
      <c r="DX112" s="399">
        <v>0</v>
      </c>
      <c r="DY112" s="399">
        <v>-3099.6132500000058</v>
      </c>
      <c r="DZ112" s="399">
        <v>2320.7840999999898</v>
      </c>
      <c r="EA112" s="399">
        <v>0</v>
      </c>
      <c r="EB112" s="399">
        <v>0</v>
      </c>
      <c r="EC112" s="399">
        <v>-4967.3865510502392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232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7" customFormat="1">
      <c r="A113" s="399">
        <v>113</v>
      </c>
      <c r="B113" s="399" t="s">
        <v>956</v>
      </c>
      <c r="C113" s="399" t="s">
        <v>2343</v>
      </c>
      <c r="D113" s="399" t="s">
        <v>533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1239</v>
      </c>
      <c r="J113" s="399" t="s">
        <v>2326</v>
      </c>
      <c r="K113" s="788">
        <v>44593</v>
      </c>
      <c r="L113" s="399">
        <v>0</v>
      </c>
      <c r="M113" s="399">
        <v>0</v>
      </c>
      <c r="N113" s="399">
        <v>0</v>
      </c>
      <c r="O113" s="399">
        <v>0</v>
      </c>
      <c r="P113" s="399">
        <v>0</v>
      </c>
      <c r="Q113" s="399">
        <v>0</v>
      </c>
      <c r="R113" s="399"/>
      <c r="S113" s="399"/>
      <c r="T113" s="399"/>
      <c r="U113" s="399"/>
      <c r="V113" s="399"/>
      <c r="W113" s="399"/>
      <c r="X113" s="399"/>
      <c r="Y113" s="399"/>
      <c r="Z113" s="399"/>
      <c r="AA113" s="399">
        <v>0</v>
      </c>
      <c r="AB113" s="399"/>
      <c r="AC113" s="399"/>
      <c r="AD113" s="399"/>
      <c r="AE113" s="399"/>
      <c r="AF113" s="399"/>
      <c r="AG113" s="399"/>
      <c r="AH113" s="399"/>
      <c r="AI113" s="399"/>
      <c r="AJ113" s="399"/>
      <c r="AK113" s="399"/>
      <c r="AL113" s="399"/>
      <c r="AM113" s="399"/>
      <c r="AN113" s="399"/>
      <c r="AO113" s="399"/>
      <c r="AP113" s="399"/>
      <c r="AQ113" s="399"/>
      <c r="AR113" s="399"/>
      <c r="AS113" s="399"/>
      <c r="AT113" s="399"/>
      <c r="AU113" s="399"/>
      <c r="AV113" s="399"/>
      <c r="AW113" s="399"/>
      <c r="AX113" s="399"/>
      <c r="AY113" s="399"/>
      <c r="AZ113" s="399">
        <v>0</v>
      </c>
      <c r="BA113" s="399"/>
      <c r="BB113" s="399"/>
      <c r="BC113" s="399"/>
      <c r="BD113" s="399"/>
      <c r="BE113" s="399"/>
      <c r="BF113" s="399"/>
      <c r="BG113" s="399"/>
      <c r="BH113" s="399"/>
      <c r="BI113" s="399">
        <v>0</v>
      </c>
      <c r="BJ113" s="399">
        <v>0</v>
      </c>
      <c r="BK113" s="399">
        <v>52959.73</v>
      </c>
      <c r="BL113" s="399">
        <v>1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/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/>
      <c r="CJ113" s="399">
        <v>-0.03</v>
      </c>
      <c r="CK113" s="399"/>
      <c r="CL113" s="399"/>
      <c r="CM113" s="399"/>
      <c r="CN113" s="399"/>
      <c r="CO113" s="399">
        <v>0</v>
      </c>
      <c r="CP113" s="399">
        <v>0</v>
      </c>
      <c r="CQ113" s="399">
        <v>29</v>
      </c>
      <c r="CR113" s="399"/>
      <c r="CS113" s="399"/>
      <c r="CT113" s="399"/>
      <c r="CU113" s="399"/>
      <c r="CV113" s="399"/>
      <c r="CW113" s="399"/>
      <c r="CX113" s="399"/>
      <c r="CY113" s="399"/>
      <c r="CZ113" s="399"/>
      <c r="DA113" s="399"/>
      <c r="DB113" s="399"/>
      <c r="DC113" s="399"/>
      <c r="DD113" s="399"/>
      <c r="DE113" s="399"/>
      <c r="DF113" s="399"/>
      <c r="DG113" s="399"/>
      <c r="DH113" s="399"/>
      <c r="DI113" s="399"/>
      <c r="DJ113" s="399"/>
      <c r="DK113" s="399">
        <v>0</v>
      </c>
      <c r="DL113" s="399"/>
      <c r="DM113" s="399"/>
      <c r="DN113" s="399"/>
      <c r="DO113" s="399"/>
      <c r="DP113" s="399"/>
      <c r="DQ113" s="399"/>
      <c r="DR113" s="399"/>
      <c r="DS113" s="399"/>
      <c r="DT113" s="399"/>
      <c r="DU113" s="399"/>
      <c r="DV113" s="399"/>
      <c r="DW113" s="399"/>
      <c r="DX113" s="399"/>
      <c r="DY113" s="399"/>
      <c r="DZ113" s="399"/>
      <c r="EA113" s="399"/>
      <c r="EB113" s="399"/>
      <c r="EC113" s="399"/>
      <c r="ED113" s="399"/>
      <c r="EE113" s="399"/>
      <c r="EF113" s="399"/>
      <c r="EG113" s="399"/>
      <c r="EH113" s="399"/>
      <c r="EI113" s="399"/>
      <c r="EJ113" s="399"/>
      <c r="EK113" s="399"/>
      <c r="EL113" s="399"/>
      <c r="EM113" s="399"/>
      <c r="EN113" s="399"/>
      <c r="EO113" s="399"/>
      <c r="EP113" s="399"/>
      <c r="EQ113" s="399"/>
      <c r="ER113" s="399"/>
      <c r="ES113" s="399"/>
      <c r="ET113" s="399"/>
      <c r="EU113" s="399"/>
      <c r="EV113" s="399">
        <v>232</v>
      </c>
      <c r="EW113" s="399"/>
      <c r="EX113" s="399"/>
      <c r="EY113" s="399"/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7" customFormat="1">
      <c r="A114" s="399">
        <v>114</v>
      </c>
      <c r="B114" s="399" t="s">
        <v>956</v>
      </c>
      <c r="C114" s="399" t="s">
        <v>2325</v>
      </c>
      <c r="D114" s="399" t="s">
        <v>533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893</v>
      </c>
      <c r="J114" s="399" t="s">
        <v>2326</v>
      </c>
      <c r="K114" s="788">
        <v>44593</v>
      </c>
      <c r="L114" s="399">
        <v>0</v>
      </c>
      <c r="M114" s="399">
        <v>0</v>
      </c>
      <c r="N114" s="399">
        <v>43.325000000000003</v>
      </c>
      <c r="O114" s="399">
        <v>43.325000000000003</v>
      </c>
      <c r="P114" s="399">
        <v>43.325000000000003</v>
      </c>
      <c r="Q114" s="399">
        <v>43.325000000000003</v>
      </c>
      <c r="R114" s="399"/>
      <c r="S114" s="399">
        <v>1962.25</v>
      </c>
      <c r="T114" s="399">
        <v>297.72000000000003</v>
      </c>
      <c r="U114" s="399"/>
      <c r="V114" s="399">
        <v>97913.200250000009</v>
      </c>
      <c r="W114" s="399">
        <v>97913.200250000009</v>
      </c>
      <c r="X114" s="399">
        <v>72777.768250000008</v>
      </c>
      <c r="Y114" s="399">
        <v>0</v>
      </c>
      <c r="Z114" s="399">
        <v>2284.618576451755</v>
      </c>
      <c r="AA114" s="399">
        <v>0</v>
      </c>
      <c r="AB114" s="399">
        <v>0</v>
      </c>
      <c r="AC114" s="399">
        <v>0</v>
      </c>
      <c r="AD114" s="399">
        <v>31773.751309088504</v>
      </c>
      <c r="AE114" s="399">
        <v>50109.110249673016</v>
      </c>
      <c r="AF114" s="399">
        <v>12898.886103493085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405.99369683114264</v>
      </c>
      <c r="AM114" s="399"/>
      <c r="AN114" s="399">
        <v>26.122973546589773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415.07311158001011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13313.959215073095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72786.167300000001</v>
      </c>
      <c r="CJ114" s="399">
        <v>-25127.062949999992</v>
      </c>
      <c r="CK114" s="399"/>
      <c r="CL114" s="399"/>
      <c r="CM114" s="399"/>
      <c r="CN114" s="399"/>
      <c r="CO114" s="399">
        <v>-25689.125500000006</v>
      </c>
      <c r="CP114" s="399">
        <v>553.69349999999883</v>
      </c>
      <c r="CQ114" s="399">
        <v>29</v>
      </c>
      <c r="CR114" s="399">
        <v>770.09116560085386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-244.86596531012765</v>
      </c>
      <c r="DA114" s="399">
        <v>0</v>
      </c>
      <c r="DB114" s="399">
        <v>0</v>
      </c>
      <c r="DC114" s="399">
        <v>553.49614524102253</v>
      </c>
      <c r="DD114" s="399">
        <v>0</v>
      </c>
      <c r="DE114" s="399">
        <v>0</v>
      </c>
      <c r="DF114" s="399">
        <v>0</v>
      </c>
      <c r="DG114" s="399">
        <v>17.81094626384106</v>
      </c>
      <c r="DH114" s="399">
        <v>0</v>
      </c>
      <c r="DI114" s="399">
        <v>381.40998352815768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59.126127193459183</v>
      </c>
      <c r="DP114" s="399">
        <v>3.1139286845066039</v>
      </c>
      <c r="DQ114" s="399">
        <v>0</v>
      </c>
      <c r="DR114" s="399">
        <v>0</v>
      </c>
      <c r="DS114" s="399"/>
      <c r="DT114" s="399"/>
      <c r="DU114" s="399"/>
      <c r="DV114" s="399">
        <v>50109.110249673016</v>
      </c>
      <c r="DW114" s="399">
        <v>0</v>
      </c>
      <c r="DX114" s="399">
        <v>0</v>
      </c>
      <c r="DY114" s="399">
        <v>-25689.125500000009</v>
      </c>
      <c r="DZ114" s="399">
        <v>553.69349999999758</v>
      </c>
      <c r="EA114" s="399">
        <v>0</v>
      </c>
      <c r="EB114" s="399">
        <v>0</v>
      </c>
      <c r="EC114" s="399">
        <v>-25905.710112227302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232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7" customFormat="1">
      <c r="A115" s="399">
        <v>115</v>
      </c>
      <c r="B115" s="399" t="s">
        <v>956</v>
      </c>
      <c r="C115" s="399" t="s">
        <v>2325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2323</v>
      </c>
      <c r="J115" s="399" t="s">
        <v>2326</v>
      </c>
      <c r="K115" s="788">
        <v>44593</v>
      </c>
      <c r="L115" s="399">
        <v>0</v>
      </c>
      <c r="M115" s="399">
        <v>0</v>
      </c>
      <c r="N115" s="399">
        <v>546.24300000000005</v>
      </c>
      <c r="O115" s="399">
        <v>546.24300000000005</v>
      </c>
      <c r="P115" s="399">
        <v>546.24300000000005</v>
      </c>
      <c r="Q115" s="399">
        <v>546.24300000000005</v>
      </c>
      <c r="R115" s="399"/>
      <c r="S115" s="399">
        <v>72.290000000000006</v>
      </c>
      <c r="T115" s="399">
        <v>297.72000000000003</v>
      </c>
      <c r="U115" s="399"/>
      <c r="V115" s="399">
        <v>202115.37243000005</v>
      </c>
      <c r="W115" s="399">
        <v>202115.37243000005</v>
      </c>
      <c r="X115" s="399">
        <v>214913.84592000002</v>
      </c>
      <c r="Y115" s="399">
        <v>0</v>
      </c>
      <c r="Z115" s="399">
        <v>28804.544836854842</v>
      </c>
      <c r="AA115" s="399">
        <v>0</v>
      </c>
      <c r="AB115" s="399">
        <v>0</v>
      </c>
      <c r="AC115" s="399">
        <v>0</v>
      </c>
      <c r="AD115" s="399">
        <v>0</v>
      </c>
      <c r="AE115" s="399">
        <v>0</v>
      </c>
      <c r="AF115" s="399">
        <v>162629.57280624058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5118.7816488894141</v>
      </c>
      <c r="AM115" s="399"/>
      <c r="AN115" s="399">
        <v>329.35929461072908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5233.2552034344944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167862.82800967508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214912.66559999998</v>
      </c>
      <c r="CJ115" s="399">
        <v>12797.263169999933</v>
      </c>
      <c r="CK115" s="399"/>
      <c r="CL115" s="399"/>
      <c r="CM115" s="399"/>
      <c r="CN115" s="399"/>
      <c r="CO115" s="399">
        <v>5817.4879499999961</v>
      </c>
      <c r="CP115" s="399">
        <v>6980.985539999986</v>
      </c>
      <c r="CQ115" s="399">
        <v>29</v>
      </c>
      <c r="CR115" s="399">
        <v>12796.612303755595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0</v>
      </c>
      <c r="DA115" s="399">
        <v>0</v>
      </c>
      <c r="DB115" s="399">
        <v>0</v>
      </c>
      <c r="DC115" s="399">
        <v>6978.4972848215257</v>
      </c>
      <c r="DD115" s="399">
        <v>0</v>
      </c>
      <c r="DE115" s="399">
        <v>0</v>
      </c>
      <c r="DF115" s="399">
        <v>0</v>
      </c>
      <c r="DG115" s="399">
        <v>224.56098603576083</v>
      </c>
      <c r="DH115" s="399">
        <v>0</v>
      </c>
      <c r="DI115" s="399">
        <v>4808.8293971695712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745.46412225128006</v>
      </c>
      <c r="DP115" s="399">
        <v>39.26051347745971</v>
      </c>
      <c r="DQ115" s="399">
        <v>0</v>
      </c>
      <c r="DR115" s="399">
        <v>0</v>
      </c>
      <c r="DS115" s="399"/>
      <c r="DT115" s="399"/>
      <c r="DU115" s="399"/>
      <c r="DV115" s="399">
        <v>0</v>
      </c>
      <c r="DW115" s="399">
        <v>0</v>
      </c>
      <c r="DX115" s="399">
        <v>0</v>
      </c>
      <c r="DY115" s="399">
        <v>5817.4879499999952</v>
      </c>
      <c r="DZ115" s="399">
        <v>6980.9855399999942</v>
      </c>
      <c r="EA115" s="399">
        <v>0</v>
      </c>
      <c r="EB115" s="399">
        <v>0</v>
      </c>
      <c r="EC115" s="399">
        <v>0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232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7" customFormat="1">
      <c r="A116" s="399">
        <v>116</v>
      </c>
      <c r="B116" s="399" t="s">
        <v>956</v>
      </c>
      <c r="C116" s="399" t="s">
        <v>2325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1239</v>
      </c>
      <c r="J116" s="399" t="s">
        <v>2326</v>
      </c>
      <c r="K116" s="788">
        <v>44593</v>
      </c>
      <c r="L116" s="399">
        <v>3050</v>
      </c>
      <c r="M116" s="399">
        <v>3050</v>
      </c>
      <c r="N116" s="399">
        <v>0</v>
      </c>
      <c r="O116" s="399">
        <v>0</v>
      </c>
      <c r="P116" s="399">
        <v>0</v>
      </c>
      <c r="Q116" s="399">
        <v>0</v>
      </c>
      <c r="R116" s="399">
        <v>25.76</v>
      </c>
      <c r="S116" s="399"/>
      <c r="T116" s="399"/>
      <c r="U116" s="399">
        <v>78568</v>
      </c>
      <c r="V116" s="399"/>
      <c r="W116" s="399">
        <v>78568</v>
      </c>
      <c r="X116" s="399">
        <v>57096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37577.150830388644</v>
      </c>
      <c r="AE116" s="399">
        <v>40986.699214218235</v>
      </c>
      <c r="AF116" s="399"/>
      <c r="AG116" s="399"/>
      <c r="AH116" s="399"/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0</v>
      </c>
      <c r="AO116" s="399">
        <v>0</v>
      </c>
      <c r="AP116" s="399">
        <v>0</v>
      </c>
      <c r="AQ116" s="399">
        <v>0</v>
      </c>
      <c r="AR116" s="399">
        <v>0</v>
      </c>
      <c r="AS116" s="399"/>
      <c r="AT116" s="399"/>
      <c r="AU116" s="399">
        <v>0</v>
      </c>
      <c r="AV116" s="399">
        <v>0</v>
      </c>
      <c r="AW116" s="399">
        <v>0</v>
      </c>
      <c r="AX116" s="399"/>
      <c r="AY116" s="399"/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/>
      <c r="BG116" s="399">
        <v>0</v>
      </c>
      <c r="BH116" s="399">
        <v>0</v>
      </c>
      <c r="BI116" s="399">
        <v>0</v>
      </c>
      <c r="BJ116" s="399">
        <v>0</v>
      </c>
      <c r="BK116" s="399">
        <v>135684.34</v>
      </c>
      <c r="BL116" s="399">
        <v>3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0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57096</v>
      </c>
      <c r="CJ116" s="399">
        <v>-21472.029999999984</v>
      </c>
      <c r="CK116" s="399"/>
      <c r="CL116" s="399"/>
      <c r="CM116" s="399"/>
      <c r="CN116" s="399"/>
      <c r="CO116" s="399">
        <v>-21472.000000000007</v>
      </c>
      <c r="CP116" s="399">
        <v>0</v>
      </c>
      <c r="CQ116" s="399">
        <v>29</v>
      </c>
      <c r="CR116" s="399">
        <v>-289.59014697948442</v>
      </c>
      <c r="CS116" s="399">
        <v>0</v>
      </c>
      <c r="CT116" s="399">
        <v>0</v>
      </c>
      <c r="CU116" s="399">
        <v>0</v>
      </c>
      <c r="CV116" s="399">
        <v>0</v>
      </c>
      <c r="CW116" s="399"/>
      <c r="CX116" s="399"/>
      <c r="CY116" s="399"/>
      <c r="CZ116" s="399">
        <v>-289.59014697948442</v>
      </c>
      <c r="DA116" s="399">
        <v>0</v>
      </c>
      <c r="DB116" s="399">
        <v>0</v>
      </c>
      <c r="DC116" s="399"/>
      <c r="DD116" s="399"/>
      <c r="DE116" s="399">
        <v>0</v>
      </c>
      <c r="DF116" s="399">
        <v>0</v>
      </c>
      <c r="DG116" s="399">
        <v>0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/>
      <c r="DN116" s="399">
        <v>0</v>
      </c>
      <c r="DO116" s="399">
        <v>0</v>
      </c>
      <c r="DP116" s="399">
        <v>0</v>
      </c>
      <c r="DQ116" s="399">
        <v>0</v>
      </c>
      <c r="DR116" s="399">
        <v>0</v>
      </c>
      <c r="DS116" s="399"/>
      <c r="DT116" s="399"/>
      <c r="DU116" s="399">
        <v>40986.699214218235</v>
      </c>
      <c r="DV116" s="399"/>
      <c r="DW116" s="399">
        <v>0</v>
      </c>
      <c r="DX116" s="399">
        <v>0</v>
      </c>
      <c r="DY116" s="399">
        <v>-21472</v>
      </c>
      <c r="DZ116" s="399"/>
      <c r="EA116" s="399">
        <v>0</v>
      </c>
      <c r="EB116" s="399"/>
      <c r="EC116" s="399">
        <v>-21189.551021962558</v>
      </c>
      <c r="ED116" s="399"/>
      <c r="EE116" s="399">
        <v>0</v>
      </c>
      <c r="EF116" s="399">
        <v>0</v>
      </c>
      <c r="EG116" s="399"/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/>
      <c r="EN116" s="399"/>
      <c r="EO116" s="399">
        <v>0</v>
      </c>
      <c r="EP116" s="399">
        <v>0</v>
      </c>
      <c r="EQ116" s="399"/>
      <c r="ER116" s="399">
        <v>0</v>
      </c>
      <c r="ES116" s="399"/>
      <c r="ET116" s="399">
        <v>0</v>
      </c>
      <c r="EU116" s="399"/>
      <c r="EV116" s="399">
        <v>232</v>
      </c>
      <c r="EW116" s="399"/>
      <c r="EX116" s="399"/>
      <c r="EY116" s="399"/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7" customFormat="1">
      <c r="A117" s="399">
        <v>117</v>
      </c>
      <c r="B117" s="399" t="s">
        <v>956</v>
      </c>
      <c r="C117" s="399" t="s">
        <v>2328</v>
      </c>
      <c r="D117" s="399" t="s">
        <v>1824</v>
      </c>
      <c r="E117" s="399" t="s">
        <v>918</v>
      </c>
      <c r="F117" s="399" t="s">
        <v>1239</v>
      </c>
      <c r="G117" s="399" t="s">
        <v>1239</v>
      </c>
      <c r="H117" s="399" t="s">
        <v>1239</v>
      </c>
      <c r="I117" s="399" t="s">
        <v>1239</v>
      </c>
      <c r="J117" s="399" t="s">
        <v>2326</v>
      </c>
      <c r="K117" s="788">
        <v>44593</v>
      </c>
      <c r="L117" s="399">
        <v>0</v>
      </c>
      <c r="M117" s="399">
        <v>0</v>
      </c>
      <c r="N117" s="399">
        <v>29.172000000000001</v>
      </c>
      <c r="O117" s="399">
        <v>29.172000000000001</v>
      </c>
      <c r="P117" s="399">
        <v>29.172000000000001</v>
      </c>
      <c r="Q117" s="399">
        <v>29.172000000000001</v>
      </c>
      <c r="R117" s="399"/>
      <c r="S117" s="399">
        <v>395.23</v>
      </c>
      <c r="T117" s="399">
        <v>297.72000000000003</v>
      </c>
      <c r="U117" s="399"/>
      <c r="V117" s="399">
        <v>20214.737400000002</v>
      </c>
      <c r="W117" s="399">
        <v>20214.737400000002</v>
      </c>
      <c r="X117" s="399">
        <v>17915.983800000002</v>
      </c>
      <c r="Y117" s="399">
        <v>0</v>
      </c>
      <c r="Z117" s="399">
        <v>1768.1621296469621</v>
      </c>
      <c r="AA117" s="399">
        <v>0</v>
      </c>
      <c r="AB117" s="399">
        <v>0</v>
      </c>
      <c r="AC117" s="399">
        <v>0</v>
      </c>
      <c r="AD117" s="399">
        <v>2899.6239626644556</v>
      </c>
      <c r="AE117" s="399">
        <v>5838.6243098829691</v>
      </c>
      <c r="AF117" s="399">
        <v>8685.2003557091812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273.36752738506851</v>
      </c>
      <c r="AM117" s="399"/>
      <c r="AN117" s="399">
        <v>25.974367708600997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723.8682768806334</v>
      </c>
      <c r="BH117" s="399">
        <v>0</v>
      </c>
      <c r="BI117" s="399">
        <v>0</v>
      </c>
      <c r="BJ117" s="399">
        <v>0</v>
      </c>
      <c r="BK117" s="399">
        <v>6919.05</v>
      </c>
      <c r="BL117" s="399">
        <v>47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9409.068632589815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17914.755499999999</v>
      </c>
      <c r="CJ117" s="399">
        <v>-2300.0119000000013</v>
      </c>
      <c r="CK117" s="399"/>
      <c r="CL117" s="399"/>
      <c r="CM117" s="399"/>
      <c r="CN117" s="399"/>
      <c r="CO117" s="399">
        <v>-2671.5717600000012</v>
      </c>
      <c r="CP117" s="399">
        <v>372.81815999999924</v>
      </c>
      <c r="CQ117" s="399">
        <v>29</v>
      </c>
      <c r="CR117" s="399">
        <v>719.49740807321541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-22.346093596170704</v>
      </c>
      <c r="DA117" s="399">
        <v>0</v>
      </c>
      <c r="DB117" s="399">
        <v>0</v>
      </c>
      <c r="DC117" s="399">
        <v>372.68527522149088</v>
      </c>
      <c r="DD117" s="399">
        <v>0</v>
      </c>
      <c r="DE117" s="399">
        <v>0</v>
      </c>
      <c r="DF117" s="399">
        <v>0</v>
      </c>
      <c r="DG117" s="399">
        <v>31.061465129704175</v>
      </c>
      <c r="DH117" s="399">
        <v>0</v>
      </c>
      <c r="DI117" s="399">
        <v>295.18918199079508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39.811364858340255</v>
      </c>
      <c r="DP117" s="399">
        <v>3.0962144690566547</v>
      </c>
      <c r="DQ117" s="399">
        <v>0</v>
      </c>
      <c r="DR117" s="399">
        <v>0</v>
      </c>
      <c r="DS117" s="399"/>
      <c r="DT117" s="399"/>
      <c r="DU117" s="399"/>
      <c r="DV117" s="399">
        <v>5838.6243098829691</v>
      </c>
      <c r="DW117" s="399">
        <v>0</v>
      </c>
      <c r="DX117" s="399">
        <v>0</v>
      </c>
      <c r="DY117" s="399">
        <v>-2671.5717600000025</v>
      </c>
      <c r="DZ117" s="399">
        <v>372.81816000000072</v>
      </c>
      <c r="EA117" s="399">
        <v>0</v>
      </c>
      <c r="EB117" s="399">
        <v>0</v>
      </c>
      <c r="EC117" s="399">
        <v>-3018.4872186394286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232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7" customFormat="1">
      <c r="A118" s="399">
        <v>118</v>
      </c>
      <c r="B118" s="399" t="s">
        <v>956</v>
      </c>
      <c r="C118" s="399" t="s">
        <v>2328</v>
      </c>
      <c r="D118" s="399" t="s">
        <v>2335</v>
      </c>
      <c r="E118" s="399" t="s">
        <v>894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2326</v>
      </c>
      <c r="K118" s="788">
        <v>44593</v>
      </c>
      <c r="L118" s="399">
        <v>0</v>
      </c>
      <c r="M118" s="399">
        <v>0</v>
      </c>
      <c r="N118" s="399">
        <v>448.75400000000002</v>
      </c>
      <c r="O118" s="399">
        <v>448.75400000000002</v>
      </c>
      <c r="P118" s="399">
        <v>448.75400000000002</v>
      </c>
      <c r="Q118" s="399">
        <v>448.75400000000002</v>
      </c>
      <c r="R118" s="399"/>
      <c r="S118" s="399">
        <v>395.23</v>
      </c>
      <c r="T118" s="399">
        <v>297.72000000000003</v>
      </c>
      <c r="U118" s="399"/>
      <c r="V118" s="399">
        <v>310964.08429999999</v>
      </c>
      <c r="W118" s="399">
        <v>310964.08429999999</v>
      </c>
      <c r="X118" s="399">
        <v>275602.26910000003</v>
      </c>
      <c r="Y118" s="399">
        <v>0</v>
      </c>
      <c r="Z118" s="399">
        <v>27199.706167818211</v>
      </c>
      <c r="AA118" s="399">
        <v>0</v>
      </c>
      <c r="AB118" s="399">
        <v>0</v>
      </c>
      <c r="AC118" s="399">
        <v>0</v>
      </c>
      <c r="AD118" s="399">
        <v>44605.027140460887</v>
      </c>
      <c r="AE118" s="399">
        <v>89815.782721692784</v>
      </c>
      <c r="AF118" s="399">
        <v>133604.77171348958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4205.2232066419519</v>
      </c>
      <c r="AM118" s="399"/>
      <c r="AN118" s="399">
        <v>399.56469925632564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11135.293593969964</v>
      </c>
      <c r="BH118" s="399">
        <v>0</v>
      </c>
      <c r="BI118" s="399">
        <v>1.61</v>
      </c>
      <c r="BJ118" s="399">
        <v>7.51</v>
      </c>
      <c r="BK118" s="399">
        <v>78811.539999999994</v>
      </c>
      <c r="BL118" s="399">
        <v>946</v>
      </c>
      <c r="BM118" s="399"/>
      <c r="BN118" s="399"/>
      <c r="BO118" s="399"/>
      <c r="BP118" s="399"/>
      <c r="BQ118" s="399"/>
      <c r="BR118" s="399">
        <v>33073.169799999996</v>
      </c>
      <c r="BS118" s="399"/>
      <c r="BT118" s="399"/>
      <c r="BU118" s="399"/>
      <c r="BV118" s="399">
        <v>144740.06530745953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242526.9375</v>
      </c>
      <c r="CJ118" s="399">
        <v>-31123.28170000005</v>
      </c>
      <c r="CK118" s="399"/>
      <c r="CL118" s="399"/>
      <c r="CM118" s="399"/>
      <c r="CN118" s="399"/>
      <c r="CO118" s="399">
        <v>-41096.891320000017</v>
      </c>
      <c r="CP118" s="399">
        <v>5735.0761199999879</v>
      </c>
      <c r="CQ118" s="399">
        <v>29</v>
      </c>
      <c r="CR118" s="399">
        <v>11068.056350695522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-343.75081878704805</v>
      </c>
      <c r="DA118" s="399">
        <v>0</v>
      </c>
      <c r="DB118" s="399">
        <v>0</v>
      </c>
      <c r="DC118" s="399">
        <v>5733.0319483321509</v>
      </c>
      <c r="DD118" s="399">
        <v>0</v>
      </c>
      <c r="DE118" s="399">
        <v>0</v>
      </c>
      <c r="DF118" s="399">
        <v>0</v>
      </c>
      <c r="DG118" s="399">
        <v>477.8197148915151</v>
      </c>
      <c r="DH118" s="399">
        <v>0</v>
      </c>
      <c r="DI118" s="399">
        <v>4540.9065602323171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612.41975955161251</v>
      </c>
      <c r="DP118" s="399">
        <v>47.629186474943424</v>
      </c>
      <c r="DQ118" s="399">
        <v>0</v>
      </c>
      <c r="DR118" s="399">
        <v>0</v>
      </c>
      <c r="DS118" s="399"/>
      <c r="DT118" s="399"/>
      <c r="DU118" s="399"/>
      <c r="DV118" s="399">
        <v>89815.782721692784</v>
      </c>
      <c r="DW118" s="399">
        <v>0</v>
      </c>
      <c r="DX118" s="399">
        <v>0</v>
      </c>
      <c r="DY118" s="399">
        <v>-41096.891319999995</v>
      </c>
      <c r="DZ118" s="399">
        <v>5735.0761199999833</v>
      </c>
      <c r="EA118" s="399">
        <v>0</v>
      </c>
      <c r="EB118" s="399">
        <v>0</v>
      </c>
      <c r="EC118" s="399">
        <v>-46433.505186936723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232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7" customFormat="1">
      <c r="A119" s="399">
        <v>119</v>
      </c>
      <c r="B119" s="399" t="s">
        <v>2330</v>
      </c>
      <c r="C119" s="399" t="s">
        <v>2328</v>
      </c>
      <c r="D119" s="399" t="s">
        <v>2335</v>
      </c>
      <c r="E119" s="399" t="s">
        <v>894</v>
      </c>
      <c r="F119" s="399" t="s">
        <v>1239</v>
      </c>
      <c r="G119" s="399" t="s">
        <v>1239</v>
      </c>
      <c r="H119" s="399" t="s">
        <v>1239</v>
      </c>
      <c r="I119" s="399" t="s">
        <v>1239</v>
      </c>
      <c r="J119" s="399" t="s">
        <v>2326</v>
      </c>
      <c r="K119" s="788">
        <v>44593</v>
      </c>
      <c r="L119" s="399">
        <v>0</v>
      </c>
      <c r="M119" s="399">
        <v>0</v>
      </c>
      <c r="N119" s="399">
        <v>24.344999999999999</v>
      </c>
      <c r="O119" s="399">
        <v>24.344999999999999</v>
      </c>
      <c r="P119" s="399">
        <v>24.344999999999999</v>
      </c>
      <c r="Q119" s="399">
        <v>24.344999999999999</v>
      </c>
      <c r="R119" s="399"/>
      <c r="S119" s="399">
        <v>395.23</v>
      </c>
      <c r="T119" s="399">
        <v>297.72000000000003</v>
      </c>
      <c r="U119" s="399"/>
      <c r="V119" s="399">
        <v>16869.867750000001</v>
      </c>
      <c r="W119" s="399">
        <v>16869.867750000001</v>
      </c>
      <c r="X119" s="399">
        <v>14951.481749999999</v>
      </c>
      <c r="Y119" s="399">
        <v>0</v>
      </c>
      <c r="Z119" s="399">
        <v>1475.5898480136875</v>
      </c>
      <c r="AA119" s="399">
        <v>0</v>
      </c>
      <c r="AB119" s="399">
        <v>0</v>
      </c>
      <c r="AC119" s="399">
        <v>0</v>
      </c>
      <c r="AD119" s="399">
        <v>2419.8322148315565</v>
      </c>
      <c r="AE119" s="399">
        <v>4872.5253264809016</v>
      </c>
      <c r="AF119" s="399">
        <v>7248.08729808515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228.13425388007309</v>
      </c>
      <c r="AM119" s="399"/>
      <c r="AN119" s="399">
        <v>21.676469966608092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604.09204719110858</v>
      </c>
      <c r="BH119" s="399">
        <v>0</v>
      </c>
      <c r="BI119" s="399">
        <v>0</v>
      </c>
      <c r="BJ119" s="399">
        <v>0</v>
      </c>
      <c r="BK119" s="399">
        <v>12526.96</v>
      </c>
      <c r="BL119" s="399">
        <v>23</v>
      </c>
      <c r="BM119" s="399"/>
      <c r="BN119" s="399"/>
      <c r="BO119" s="399"/>
      <c r="BP119" s="399"/>
      <c r="BQ119" s="399"/>
      <c r="BR119" s="399">
        <v>1794.2264999999998</v>
      </c>
      <c r="BS119" s="399"/>
      <c r="BT119" s="399"/>
      <c r="BU119" s="399"/>
      <c r="BV119" s="399">
        <v>7852.1793452762586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13159.9575</v>
      </c>
      <c r="CJ119" s="399">
        <v>-1685.6535000000003</v>
      </c>
      <c r="CK119" s="399"/>
      <c r="CL119" s="399"/>
      <c r="CM119" s="399"/>
      <c r="CN119" s="399"/>
      <c r="CO119" s="399">
        <v>-2229.515100000001</v>
      </c>
      <c r="CP119" s="399">
        <v>311.12909999999931</v>
      </c>
      <c r="CQ119" s="399">
        <v>29</v>
      </c>
      <c r="CR119" s="399">
        <v>600.44441243461006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-18.648555073315947</v>
      </c>
      <c r="DA119" s="399">
        <v>0</v>
      </c>
      <c r="DB119" s="399">
        <v>0</v>
      </c>
      <c r="DC119" s="399">
        <v>311.01820325199515</v>
      </c>
      <c r="DD119" s="399">
        <v>0</v>
      </c>
      <c r="DE119" s="399">
        <v>0</v>
      </c>
      <c r="DF119" s="399">
        <v>0</v>
      </c>
      <c r="DG119" s="399">
        <v>25.92182121838232</v>
      </c>
      <c r="DH119" s="399">
        <v>0</v>
      </c>
      <c r="DI119" s="399">
        <v>246.34514724961946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33.223902285626394</v>
      </c>
      <c r="DP119" s="399">
        <v>2.583893502303038</v>
      </c>
      <c r="DQ119" s="399">
        <v>0</v>
      </c>
      <c r="DR119" s="399">
        <v>0</v>
      </c>
      <c r="DS119" s="399"/>
      <c r="DT119" s="399"/>
      <c r="DU119" s="399"/>
      <c r="DV119" s="399">
        <v>4872.5253264809016</v>
      </c>
      <c r="DW119" s="399">
        <v>0</v>
      </c>
      <c r="DX119" s="399">
        <v>0</v>
      </c>
      <c r="DY119" s="399">
        <v>-2229.5151000000005</v>
      </c>
      <c r="DZ119" s="399">
        <v>311.1290999999992</v>
      </c>
      <c r="EA119" s="399">
        <v>0</v>
      </c>
      <c r="EB119" s="399">
        <v>0</v>
      </c>
      <c r="EC119" s="399">
        <v>-2519.0275379739778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232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7" customFormat="1">
      <c r="A120" s="399">
        <v>120</v>
      </c>
      <c r="B120" s="399" t="s">
        <v>956</v>
      </c>
      <c r="C120" s="399" t="s">
        <v>2328</v>
      </c>
      <c r="D120" s="399" t="s">
        <v>1824</v>
      </c>
      <c r="E120" s="399" t="s">
        <v>2336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2326</v>
      </c>
      <c r="K120" s="788">
        <v>44593</v>
      </c>
      <c r="L120" s="399">
        <v>0</v>
      </c>
      <c r="M120" s="399">
        <v>0</v>
      </c>
      <c r="N120" s="399">
        <v>0.90100000000000002</v>
      </c>
      <c r="O120" s="399">
        <v>0.90100000000000002</v>
      </c>
      <c r="P120" s="399">
        <v>0.90100000000000002</v>
      </c>
      <c r="Q120" s="399">
        <v>0.90100000000000002</v>
      </c>
      <c r="R120" s="399"/>
      <c r="S120" s="399">
        <v>395.23</v>
      </c>
      <c r="T120" s="399">
        <v>297.72000000000003</v>
      </c>
      <c r="U120" s="399"/>
      <c r="V120" s="399">
        <v>624.34795000000008</v>
      </c>
      <c r="W120" s="399">
        <v>624.34795000000008</v>
      </c>
      <c r="X120" s="399">
        <v>553.34915000000001</v>
      </c>
      <c r="Y120" s="399">
        <v>0</v>
      </c>
      <c r="Z120" s="399">
        <v>54.611068106811771</v>
      </c>
      <c r="AA120" s="399">
        <v>0</v>
      </c>
      <c r="AB120" s="399">
        <v>0</v>
      </c>
      <c r="AC120" s="399">
        <v>0</v>
      </c>
      <c r="AD120" s="399">
        <v>89.55715036201407</v>
      </c>
      <c r="AE120" s="399">
        <v>180.33047110943903</v>
      </c>
      <c r="AF120" s="399">
        <v>268.24919513553999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8.4431695521029315</v>
      </c>
      <c r="AM120" s="399"/>
      <c r="AN120" s="399">
        <v>0.80223862969455295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22.357236989903015</v>
      </c>
      <c r="BH120" s="399">
        <v>0</v>
      </c>
      <c r="BI120" s="399">
        <v>0</v>
      </c>
      <c r="BJ120" s="399">
        <v>0</v>
      </c>
      <c r="BK120" s="399">
        <v>221.32</v>
      </c>
      <c r="BL120" s="399">
        <v>17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290.60643212544301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552.7349999999999</v>
      </c>
      <c r="CJ120" s="399">
        <v>-71.642950000000155</v>
      </c>
      <c r="CK120" s="399"/>
      <c r="CL120" s="399"/>
      <c r="CM120" s="399"/>
      <c r="CN120" s="399"/>
      <c r="CO120" s="399">
        <v>-82.513580000000033</v>
      </c>
      <c r="CP120" s="399">
        <v>11.514779999999975</v>
      </c>
      <c r="CQ120" s="399">
        <v>29</v>
      </c>
      <c r="CR120" s="399">
        <v>22.222239293636619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-0.69017655046447146</v>
      </c>
      <c r="DA120" s="399">
        <v>0</v>
      </c>
      <c r="DB120" s="399">
        <v>0</v>
      </c>
      <c r="DC120" s="399">
        <v>11.510675749847906</v>
      </c>
      <c r="DD120" s="399">
        <v>0</v>
      </c>
      <c r="DE120" s="399">
        <v>0</v>
      </c>
      <c r="DF120" s="399">
        <v>0</v>
      </c>
      <c r="DG120" s="399">
        <v>0.95935760598736408</v>
      </c>
      <c r="DH120" s="399">
        <v>0</v>
      </c>
      <c r="DI120" s="399">
        <v>9.1171483948205818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1.2296050917785735</v>
      </c>
      <c r="DP120" s="399">
        <v>9.5629001666668212E-2</v>
      </c>
      <c r="DQ120" s="399">
        <v>0</v>
      </c>
      <c r="DR120" s="399">
        <v>0</v>
      </c>
      <c r="DS120" s="399"/>
      <c r="DT120" s="399"/>
      <c r="DU120" s="399"/>
      <c r="DV120" s="399">
        <v>180.33047110943903</v>
      </c>
      <c r="DW120" s="399">
        <v>0</v>
      </c>
      <c r="DX120" s="399">
        <v>0</v>
      </c>
      <c r="DY120" s="399">
        <v>-82.513580000000047</v>
      </c>
      <c r="DZ120" s="399">
        <v>11.514779999999973</v>
      </c>
      <c r="EA120" s="399">
        <v>0</v>
      </c>
      <c r="EB120" s="399">
        <v>0</v>
      </c>
      <c r="EC120" s="399">
        <v>-93.228334841427582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232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7" customFormat="1">
      <c r="A121" s="399">
        <v>121</v>
      </c>
      <c r="B121" s="399" t="s">
        <v>956</v>
      </c>
      <c r="C121" s="399" t="s">
        <v>2328</v>
      </c>
      <c r="D121" s="399" t="s">
        <v>2337</v>
      </c>
      <c r="E121" s="399" t="s">
        <v>2338</v>
      </c>
      <c r="F121" s="399" t="s">
        <v>2339</v>
      </c>
      <c r="G121" s="399" t="s">
        <v>1239</v>
      </c>
      <c r="H121" s="399" t="s">
        <v>1239</v>
      </c>
      <c r="I121" s="399" t="s">
        <v>1239</v>
      </c>
      <c r="J121" s="399" t="s">
        <v>2326</v>
      </c>
      <c r="K121" s="788">
        <v>44593</v>
      </c>
      <c r="L121" s="399">
        <v>0</v>
      </c>
      <c r="M121" s="399">
        <v>0</v>
      </c>
      <c r="N121" s="399">
        <v>19.079999999999998</v>
      </c>
      <c r="O121" s="399">
        <v>19.079999999999998</v>
      </c>
      <c r="P121" s="399">
        <v>19.079999999999998</v>
      </c>
      <c r="Q121" s="399">
        <v>19.079999999999998</v>
      </c>
      <c r="R121" s="399"/>
      <c r="S121" s="399">
        <v>217.38</v>
      </c>
      <c r="T121" s="399">
        <v>163.75</v>
      </c>
      <c r="U121" s="399"/>
      <c r="V121" s="399">
        <v>7271.9603999999999</v>
      </c>
      <c r="W121" s="399">
        <v>7271.9603999999999</v>
      </c>
      <c r="X121" s="399">
        <v>6444.8423999999995</v>
      </c>
      <c r="Y121" s="399">
        <v>0</v>
      </c>
      <c r="Z121" s="399">
        <v>636.05832265580773</v>
      </c>
      <c r="AA121" s="399">
        <v>0</v>
      </c>
      <c r="AB121" s="399">
        <v>0</v>
      </c>
      <c r="AC121" s="399">
        <v>0</v>
      </c>
      <c r="AD121" s="399">
        <v>1043.0773983340459</v>
      </c>
      <c r="AE121" s="399">
        <v>2100.31960468641</v>
      </c>
      <c r="AF121" s="399">
        <v>3124.3141551080516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98.338092430375227</v>
      </c>
      <c r="AM121" s="399"/>
      <c r="AN121" s="399">
        <v>9.3437205105600771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260.39605435298807</v>
      </c>
      <c r="BH121" s="399">
        <v>0</v>
      </c>
      <c r="BI121" s="399">
        <v>0</v>
      </c>
      <c r="BJ121" s="399">
        <v>0</v>
      </c>
      <c r="BK121" s="399">
        <v>3051.39</v>
      </c>
      <c r="BL121" s="399">
        <v>1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3384.7102094610395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6444.8423999999995</v>
      </c>
      <c r="CJ121" s="399">
        <v>-827.14800000000105</v>
      </c>
      <c r="CK121" s="399"/>
      <c r="CL121" s="399"/>
      <c r="CM121" s="399"/>
      <c r="CN121" s="399"/>
      <c r="CO121" s="399">
        <v>-961.05960000000005</v>
      </c>
      <c r="CP121" s="399">
        <v>133.94160000000019</v>
      </c>
      <c r="CQ121" s="399">
        <v>29</v>
      </c>
      <c r="CR121" s="399">
        <v>258.82372824353661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-8.0385268818799887</v>
      </c>
      <c r="DA121" s="399">
        <v>0</v>
      </c>
      <c r="DB121" s="399">
        <v>0</v>
      </c>
      <c r="DC121" s="399">
        <v>134.06551755705686</v>
      </c>
      <c r="DD121" s="399">
        <v>0</v>
      </c>
      <c r="DE121" s="399">
        <v>0</v>
      </c>
      <c r="DF121" s="399">
        <v>0</v>
      </c>
      <c r="DG121" s="399">
        <v>11.173694469735267</v>
      </c>
      <c r="DH121" s="399">
        <v>0</v>
      </c>
      <c r="DI121" s="399">
        <v>106.18796365732146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14.321282833656795</v>
      </c>
      <c r="DP121" s="399">
        <v>1.1137966076470853</v>
      </c>
      <c r="DQ121" s="399">
        <v>0</v>
      </c>
      <c r="DR121" s="399">
        <v>0</v>
      </c>
      <c r="DS121" s="399"/>
      <c r="DT121" s="399"/>
      <c r="DU121" s="399"/>
      <c r="DV121" s="399">
        <v>2100.31960468641</v>
      </c>
      <c r="DW121" s="399">
        <v>0</v>
      </c>
      <c r="DX121" s="399">
        <v>0</v>
      </c>
      <c r="DY121" s="399">
        <v>-961.05960000000005</v>
      </c>
      <c r="DZ121" s="399">
        <v>133.94160000000011</v>
      </c>
      <c r="EA121" s="399">
        <v>0</v>
      </c>
      <c r="EB121" s="399">
        <v>0</v>
      </c>
      <c r="EC121" s="399">
        <v>-1085.8358999178058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232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7" customFormat="1">
      <c r="A122" s="399">
        <v>122</v>
      </c>
      <c r="B122" s="399" t="s">
        <v>956</v>
      </c>
      <c r="C122" s="399" t="s">
        <v>2328</v>
      </c>
      <c r="D122" s="399" t="s">
        <v>1824</v>
      </c>
      <c r="E122" s="399" t="s">
        <v>921</v>
      </c>
      <c r="F122" s="399" t="s">
        <v>2327</v>
      </c>
      <c r="G122" s="399" t="s">
        <v>1239</v>
      </c>
      <c r="H122" s="399" t="s">
        <v>1239</v>
      </c>
      <c r="I122" s="399" t="s">
        <v>1239</v>
      </c>
      <c r="J122" s="399" t="s">
        <v>2326</v>
      </c>
      <c r="K122" s="788">
        <v>44593</v>
      </c>
      <c r="L122" s="399">
        <v>0</v>
      </c>
      <c r="M122" s="399">
        <v>0</v>
      </c>
      <c r="N122" s="399">
        <v>0.71099999999999997</v>
      </c>
      <c r="O122" s="399">
        <v>0.66833999999999993</v>
      </c>
      <c r="P122" s="399">
        <v>0.71099999999999997</v>
      </c>
      <c r="Q122" s="399">
        <v>0.66833999999999993</v>
      </c>
      <c r="R122" s="399"/>
      <c r="S122" s="399">
        <v>395.23</v>
      </c>
      <c r="T122" s="399">
        <v>297.72000000000003</v>
      </c>
      <c r="U122" s="399"/>
      <c r="V122" s="399">
        <v>492.68745000000001</v>
      </c>
      <c r="W122" s="399">
        <v>492.68745000000001</v>
      </c>
      <c r="X122" s="399">
        <v>436.66064999999998</v>
      </c>
      <c r="Y122" s="399">
        <v>0</v>
      </c>
      <c r="Z122" s="399">
        <v>43.094860625908062</v>
      </c>
      <c r="AA122" s="399">
        <v>0</v>
      </c>
      <c r="AB122" s="399">
        <v>0</v>
      </c>
      <c r="AC122" s="399">
        <v>0</v>
      </c>
      <c r="AD122" s="399">
        <v>70.671624758481684</v>
      </c>
      <c r="AE122" s="399">
        <v>142.30295777892468</v>
      </c>
      <c r="AF122" s="399">
        <v>211.68166231006538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6.662700945111192</v>
      </c>
      <c r="AM122" s="399"/>
      <c r="AN122" s="399">
        <v>0.63306511177894242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17.64261431722646</v>
      </c>
      <c r="BH122" s="399">
        <v>0</v>
      </c>
      <c r="BI122" s="399">
        <v>0</v>
      </c>
      <c r="BJ122" s="399">
        <v>0</v>
      </c>
      <c r="BK122" s="399">
        <v>174.69</v>
      </c>
      <c r="BL122" s="399">
        <v>2</v>
      </c>
      <c r="BM122" s="399"/>
      <c r="BN122" s="399"/>
      <c r="BO122" s="399"/>
      <c r="BP122" s="399"/>
      <c r="BQ122" s="399">
        <v>26.199639000000019</v>
      </c>
      <c r="BR122" s="399"/>
      <c r="BS122" s="399"/>
      <c r="BT122" s="399"/>
      <c r="BU122" s="399"/>
      <c r="BV122" s="399">
        <v>229.32427662729185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411.48050000000001</v>
      </c>
      <c r="CJ122" s="399">
        <v>-51.675702999999942</v>
      </c>
      <c r="CK122" s="399"/>
      <c r="CL122" s="399"/>
      <c r="CM122" s="399"/>
      <c r="CN122" s="399"/>
      <c r="CO122" s="399">
        <v>-65.113380000000021</v>
      </c>
      <c r="CP122" s="399">
        <v>9.0865799999999801</v>
      </c>
      <c r="CQ122" s="399">
        <v>29</v>
      </c>
      <c r="CR122" s="399">
        <v>17.536084503635607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-0.54463432561624359</v>
      </c>
      <c r="DA122" s="399">
        <v>0</v>
      </c>
      <c r="DB122" s="399">
        <v>0</v>
      </c>
      <c r="DC122" s="399">
        <v>9.0833412410009657</v>
      </c>
      <c r="DD122" s="399">
        <v>0</v>
      </c>
      <c r="DE122" s="399">
        <v>0</v>
      </c>
      <c r="DF122" s="399">
        <v>0</v>
      </c>
      <c r="DG122" s="399">
        <v>0.7570513405738275</v>
      </c>
      <c r="DH122" s="399">
        <v>0</v>
      </c>
      <c r="DI122" s="399">
        <v>7.1945532838151323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0.97030990039352538</v>
      </c>
      <c r="DP122" s="399">
        <v>7.5463063468369618E-2</v>
      </c>
      <c r="DQ122" s="399">
        <v>0</v>
      </c>
      <c r="DR122" s="399">
        <v>0</v>
      </c>
      <c r="DS122" s="399"/>
      <c r="DT122" s="399"/>
      <c r="DU122" s="399"/>
      <c r="DV122" s="399">
        <v>142.30295777892468</v>
      </c>
      <c r="DW122" s="399">
        <v>0</v>
      </c>
      <c r="DX122" s="399">
        <v>0</v>
      </c>
      <c r="DY122" s="399">
        <v>-65.113380000000035</v>
      </c>
      <c r="DZ122" s="399">
        <v>9.0865799999999979</v>
      </c>
      <c r="EA122" s="399">
        <v>0</v>
      </c>
      <c r="EB122" s="399">
        <v>0</v>
      </c>
      <c r="EC122" s="399">
        <v>-73.5686415896282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232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7" customFormat="1">
      <c r="A123" s="399">
        <v>123</v>
      </c>
      <c r="B123" s="399" t="s">
        <v>956</v>
      </c>
      <c r="C123" s="399" t="s">
        <v>2328</v>
      </c>
      <c r="D123" s="399" t="s">
        <v>2335</v>
      </c>
      <c r="E123" s="399" t="s">
        <v>894</v>
      </c>
      <c r="F123" s="399" t="s">
        <v>2367</v>
      </c>
      <c r="G123" s="399" t="s">
        <v>2368</v>
      </c>
      <c r="H123" s="399" t="s">
        <v>1239</v>
      </c>
      <c r="I123" s="399" t="s">
        <v>1239</v>
      </c>
      <c r="J123" s="399" t="s">
        <v>2326</v>
      </c>
      <c r="K123" s="788">
        <v>44593</v>
      </c>
      <c r="L123" s="399">
        <v>0</v>
      </c>
      <c r="M123" s="399">
        <v>0</v>
      </c>
      <c r="N123" s="399">
        <v>0</v>
      </c>
      <c r="O123" s="399">
        <v>0</v>
      </c>
      <c r="P123" s="399">
        <v>0</v>
      </c>
      <c r="Q123" s="399">
        <v>0</v>
      </c>
      <c r="R123" s="399"/>
      <c r="S123" s="399"/>
      <c r="T123" s="399"/>
      <c r="U123" s="399"/>
      <c r="V123" s="399"/>
      <c r="W123" s="399"/>
      <c r="X123" s="399"/>
      <c r="Y123" s="399"/>
      <c r="Z123" s="399"/>
      <c r="AA123" s="399">
        <v>0</v>
      </c>
      <c r="AB123" s="399"/>
      <c r="AC123" s="399"/>
      <c r="AD123" s="399"/>
      <c r="AE123" s="399"/>
      <c r="AF123" s="399"/>
      <c r="AG123" s="399"/>
      <c r="AH123" s="399"/>
      <c r="AI123" s="399"/>
      <c r="AJ123" s="399"/>
      <c r="AK123" s="399"/>
      <c r="AL123" s="399"/>
      <c r="AM123" s="399"/>
      <c r="AN123" s="399"/>
      <c r="AO123" s="399"/>
      <c r="AP123" s="399"/>
      <c r="AQ123" s="399"/>
      <c r="AR123" s="399"/>
      <c r="AS123" s="399"/>
      <c r="AT123" s="399"/>
      <c r="AU123" s="399"/>
      <c r="AV123" s="399"/>
      <c r="AW123" s="399"/>
      <c r="AX123" s="399"/>
      <c r="AY123" s="399"/>
      <c r="AZ123" s="399">
        <v>0</v>
      </c>
      <c r="BA123" s="399"/>
      <c r="BB123" s="399"/>
      <c r="BC123" s="399"/>
      <c r="BD123" s="399"/>
      <c r="BE123" s="399"/>
      <c r="BF123" s="399"/>
      <c r="BG123" s="399"/>
      <c r="BH123" s="399"/>
      <c r="BI123" s="399">
        <v>0</v>
      </c>
      <c r="BJ123" s="399">
        <v>0</v>
      </c>
      <c r="BK123" s="399">
        <v>10.050000000000001</v>
      </c>
      <c r="BL123" s="399">
        <v>1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/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/>
      <c r="CJ123" s="399">
        <v>-0.03</v>
      </c>
      <c r="CK123" s="399"/>
      <c r="CL123" s="399"/>
      <c r="CM123" s="399"/>
      <c r="CN123" s="399"/>
      <c r="CO123" s="399">
        <v>0</v>
      </c>
      <c r="CP123" s="399">
        <v>0</v>
      </c>
      <c r="CQ123" s="399">
        <v>29</v>
      </c>
      <c r="CR123" s="399"/>
      <c r="CS123" s="399"/>
      <c r="CT123" s="399"/>
      <c r="CU123" s="399"/>
      <c r="CV123" s="399"/>
      <c r="CW123" s="399"/>
      <c r="CX123" s="399"/>
      <c r="CY123" s="399"/>
      <c r="CZ123" s="399"/>
      <c r="DA123" s="399"/>
      <c r="DB123" s="399"/>
      <c r="DC123" s="399"/>
      <c r="DD123" s="399"/>
      <c r="DE123" s="399"/>
      <c r="DF123" s="399"/>
      <c r="DG123" s="399"/>
      <c r="DH123" s="399"/>
      <c r="DI123" s="399"/>
      <c r="DJ123" s="399"/>
      <c r="DK123" s="399">
        <v>0</v>
      </c>
      <c r="DL123" s="399"/>
      <c r="DM123" s="399"/>
      <c r="DN123" s="399"/>
      <c r="DO123" s="399"/>
      <c r="DP123" s="399"/>
      <c r="DQ123" s="399"/>
      <c r="DR123" s="399"/>
      <c r="DS123" s="399"/>
      <c r="DT123" s="399"/>
      <c r="DU123" s="399"/>
      <c r="DV123" s="399"/>
      <c r="DW123" s="399"/>
      <c r="DX123" s="399"/>
      <c r="DY123" s="399"/>
      <c r="DZ123" s="399"/>
      <c r="EA123" s="399"/>
      <c r="EB123" s="399"/>
      <c r="EC123" s="399"/>
      <c r="ED123" s="399"/>
      <c r="EE123" s="399"/>
      <c r="EF123" s="399"/>
      <c r="EG123" s="399"/>
      <c r="EH123" s="399"/>
      <c r="EI123" s="399"/>
      <c r="EJ123" s="399"/>
      <c r="EK123" s="399"/>
      <c r="EL123" s="399"/>
      <c r="EM123" s="399"/>
      <c r="EN123" s="399"/>
      <c r="EO123" s="399"/>
      <c r="EP123" s="399"/>
      <c r="EQ123" s="399"/>
      <c r="ER123" s="399"/>
      <c r="ES123" s="399"/>
      <c r="ET123" s="399"/>
      <c r="EU123" s="399"/>
      <c r="EV123" s="399">
        <v>232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7" customFormat="1">
      <c r="A124" s="399">
        <v>124</v>
      </c>
      <c r="B124" s="399" t="s">
        <v>956</v>
      </c>
      <c r="C124" s="399" t="s">
        <v>2328</v>
      </c>
      <c r="D124" s="399" t="s">
        <v>2335</v>
      </c>
      <c r="E124" s="399" t="s">
        <v>894</v>
      </c>
      <c r="F124" s="399" t="s">
        <v>2367</v>
      </c>
      <c r="G124" s="399" t="s">
        <v>2368</v>
      </c>
      <c r="H124" s="399" t="s">
        <v>1239</v>
      </c>
      <c r="I124" s="399" t="s">
        <v>1239</v>
      </c>
      <c r="J124" s="399" t="s">
        <v>2326</v>
      </c>
      <c r="K124" s="788">
        <v>44593</v>
      </c>
      <c r="L124" s="399">
        <v>0</v>
      </c>
      <c r="M124" s="399">
        <v>0</v>
      </c>
      <c r="N124" s="399">
        <v>9.5000000000000001E-2</v>
      </c>
      <c r="O124" s="399">
        <v>9.5000000000000001E-2</v>
      </c>
      <c r="P124" s="399">
        <v>9.5000000000000001E-2</v>
      </c>
      <c r="Q124" s="399">
        <v>9.5000000000000001E-2</v>
      </c>
      <c r="R124" s="399"/>
      <c r="S124" s="399">
        <v>395.23</v>
      </c>
      <c r="T124" s="399">
        <v>297.72000000000003</v>
      </c>
      <c r="U124" s="399"/>
      <c r="V124" s="399">
        <v>65.830250000000007</v>
      </c>
      <c r="W124" s="399">
        <v>65.830250000000007</v>
      </c>
      <c r="X124" s="399">
        <v>58.344249999999995</v>
      </c>
      <c r="Y124" s="399">
        <v>0</v>
      </c>
      <c r="Z124" s="399">
        <v>5.7581037404518511</v>
      </c>
      <c r="AA124" s="399">
        <v>0</v>
      </c>
      <c r="AB124" s="399">
        <v>0</v>
      </c>
      <c r="AC124" s="399">
        <v>0</v>
      </c>
      <c r="AD124" s="399">
        <v>9.4427628017661895</v>
      </c>
      <c r="AE124" s="399">
        <v>19.013756665257166</v>
      </c>
      <c r="AF124" s="399">
        <v>28.28376641273729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0.89023430349586963</v>
      </c>
      <c r="AM124" s="399"/>
      <c r="AN124" s="399">
        <v>8.458675895780525E-2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2.3573113363382756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/>
      <c r="BR124" s="399">
        <v>8.1557499999999976</v>
      </c>
      <c r="BS124" s="399"/>
      <c r="BT124" s="399"/>
      <c r="BU124" s="399"/>
      <c r="BV124" s="399">
        <v>30.641077749075563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52.83</v>
      </c>
      <c r="CJ124" s="399">
        <v>-3.6290499999999994</v>
      </c>
      <c r="CK124" s="399"/>
      <c r="CL124" s="399"/>
      <c r="CM124" s="399"/>
      <c r="CN124" s="399"/>
      <c r="CO124" s="399">
        <v>-8.7001000000000044</v>
      </c>
      <c r="CP124" s="399">
        <v>1.2140999999999975</v>
      </c>
      <c r="CQ124" s="399">
        <v>29</v>
      </c>
      <c r="CR124" s="399">
        <v>2.3430773950005488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-7.2771112424112161E-2</v>
      </c>
      <c r="DA124" s="399">
        <v>0</v>
      </c>
      <c r="DB124" s="399">
        <v>0</v>
      </c>
      <c r="DC124" s="399">
        <v>1.213667254423477</v>
      </c>
      <c r="DD124" s="399">
        <v>0</v>
      </c>
      <c r="DE124" s="399">
        <v>0</v>
      </c>
      <c r="DF124" s="399">
        <v>0</v>
      </c>
      <c r="DG124" s="399">
        <v>0.10115313270677007</v>
      </c>
      <c r="DH124" s="399">
        <v>0</v>
      </c>
      <c r="DI124" s="399">
        <v>0.96129755550272566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0.12964759569252438</v>
      </c>
      <c r="DP124" s="399">
        <v>1.0082969099149255E-2</v>
      </c>
      <c r="DQ124" s="399">
        <v>0</v>
      </c>
      <c r="DR124" s="399">
        <v>0</v>
      </c>
      <c r="DS124" s="399"/>
      <c r="DT124" s="399"/>
      <c r="DU124" s="399"/>
      <c r="DV124" s="399">
        <v>19.013756665257166</v>
      </c>
      <c r="DW124" s="399">
        <v>0</v>
      </c>
      <c r="DX124" s="399">
        <v>0</v>
      </c>
      <c r="DY124" s="399">
        <v>-8.7001000000000026</v>
      </c>
      <c r="DZ124" s="399">
        <v>1.2140999999999948</v>
      </c>
      <c r="EA124" s="399">
        <v>0</v>
      </c>
      <c r="EB124" s="399">
        <v>0</v>
      </c>
      <c r="EC124" s="399">
        <v>-9.8298466258996875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232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7" customFormat="1">
      <c r="A125" s="399">
        <v>125</v>
      </c>
      <c r="B125" s="399" t="s">
        <v>956</v>
      </c>
      <c r="C125" s="399" t="s">
        <v>2328</v>
      </c>
      <c r="D125" s="399" t="s">
        <v>2335</v>
      </c>
      <c r="E125" s="399" t="s">
        <v>894</v>
      </c>
      <c r="F125" s="399" t="s">
        <v>2367</v>
      </c>
      <c r="G125" s="399" t="s">
        <v>2369</v>
      </c>
      <c r="H125" s="399" t="s">
        <v>1239</v>
      </c>
      <c r="I125" s="399" t="s">
        <v>1239</v>
      </c>
      <c r="J125" s="399" t="s">
        <v>2326</v>
      </c>
      <c r="K125" s="788">
        <v>44593</v>
      </c>
      <c r="L125" s="399">
        <v>0</v>
      </c>
      <c r="M125" s="399">
        <v>0</v>
      </c>
      <c r="N125" s="399">
        <v>5.0000000000000001E-3</v>
      </c>
      <c r="O125" s="399">
        <v>2E-3</v>
      </c>
      <c r="P125" s="399">
        <v>5.0000000000000001E-3</v>
      </c>
      <c r="Q125" s="399">
        <v>2E-3</v>
      </c>
      <c r="R125" s="399"/>
      <c r="S125" s="399">
        <v>395.23</v>
      </c>
      <c r="T125" s="399">
        <v>297.72000000000003</v>
      </c>
      <c r="U125" s="399"/>
      <c r="V125" s="399">
        <v>3.4647500000000004</v>
      </c>
      <c r="W125" s="399">
        <v>3.4647500000000004</v>
      </c>
      <c r="X125" s="399">
        <v>3.0707499999999999</v>
      </c>
      <c r="Y125" s="399">
        <v>0</v>
      </c>
      <c r="Z125" s="399">
        <v>0.30305809160272901</v>
      </c>
      <c r="AA125" s="399">
        <v>0</v>
      </c>
      <c r="AB125" s="399">
        <v>0</v>
      </c>
      <c r="AC125" s="399">
        <v>0</v>
      </c>
      <c r="AD125" s="399">
        <v>0.49698751588243101</v>
      </c>
      <c r="AE125" s="399">
        <v>1.0007240350135351</v>
      </c>
      <c r="AF125" s="399">
        <v>1.4886192848809099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4.68544370260984E-2</v>
      </c>
      <c r="AM125" s="399"/>
      <c r="AN125" s="399">
        <v>4.4519346819897497E-3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0.12406901770201451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/>
      <c r="BR125" s="399"/>
      <c r="BS125" s="399">
        <v>2.0141499999999999</v>
      </c>
      <c r="BT125" s="399"/>
      <c r="BU125" s="399"/>
      <c r="BV125" s="399">
        <v>1.6126883025829244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0</v>
      </c>
      <c r="CJ125" s="399">
        <v>-1.2179800000000001</v>
      </c>
      <c r="CK125" s="399"/>
      <c r="CL125" s="399"/>
      <c r="CM125" s="399"/>
      <c r="CN125" s="399"/>
      <c r="CO125" s="399">
        <v>-0.4579000000000002</v>
      </c>
      <c r="CP125" s="399">
        <v>6.389999999999986E-2</v>
      </c>
      <c r="CQ125" s="399">
        <v>29</v>
      </c>
      <c r="CR125" s="399">
        <v>0.12331986289476538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-3.8300585486374938E-3</v>
      </c>
      <c r="DA125" s="399">
        <v>0</v>
      </c>
      <c r="DB125" s="399">
        <v>0</v>
      </c>
      <c r="DC125" s="399">
        <v>6.3877223917025105E-2</v>
      </c>
      <c r="DD125" s="399">
        <v>0</v>
      </c>
      <c r="DE125" s="399">
        <v>0</v>
      </c>
      <c r="DF125" s="399">
        <v>0</v>
      </c>
      <c r="DG125" s="399">
        <v>5.3238490898299962E-3</v>
      </c>
      <c r="DH125" s="399">
        <v>0</v>
      </c>
      <c r="DI125" s="399">
        <v>5.0594608184353962E-2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6.8235576680275994E-3</v>
      </c>
      <c r="DP125" s="399">
        <v>5.306825841657507E-4</v>
      </c>
      <c r="DQ125" s="399">
        <v>0</v>
      </c>
      <c r="DR125" s="399">
        <v>0</v>
      </c>
      <c r="DS125" s="399"/>
      <c r="DT125" s="399"/>
      <c r="DU125" s="399"/>
      <c r="DV125" s="399">
        <v>1.0007240350135351</v>
      </c>
      <c r="DW125" s="399">
        <v>0</v>
      </c>
      <c r="DX125" s="399">
        <v>0</v>
      </c>
      <c r="DY125" s="399">
        <v>-0.4579000000000002</v>
      </c>
      <c r="DZ125" s="399">
        <v>6.3899999999999846E-2</v>
      </c>
      <c r="EA125" s="399">
        <v>0</v>
      </c>
      <c r="EB125" s="399">
        <v>0</v>
      </c>
      <c r="EC125" s="399">
        <v>-0.51736034873156256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232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7" customFormat="1">
      <c r="A126" s="399">
        <v>126</v>
      </c>
      <c r="B126" s="399" t="s">
        <v>956</v>
      </c>
      <c r="C126" s="399" t="s">
        <v>2328</v>
      </c>
      <c r="D126" s="399" t="s">
        <v>1821</v>
      </c>
      <c r="E126" s="399" t="s">
        <v>889</v>
      </c>
      <c r="F126" s="399" t="s">
        <v>889</v>
      </c>
      <c r="G126" s="399" t="s">
        <v>1239</v>
      </c>
      <c r="H126" s="399" t="s">
        <v>1239</v>
      </c>
      <c r="I126" s="399" t="s">
        <v>1239</v>
      </c>
      <c r="J126" s="399" t="s">
        <v>2326</v>
      </c>
      <c r="K126" s="788">
        <v>44621</v>
      </c>
      <c r="L126" s="399">
        <v>0</v>
      </c>
      <c r="M126" s="399">
        <v>0</v>
      </c>
      <c r="N126" s="399">
        <v>34.155999999999999</v>
      </c>
      <c r="O126" s="399">
        <v>34.155999999999999</v>
      </c>
      <c r="P126" s="399">
        <v>34.155999999999999</v>
      </c>
      <c r="Q126" s="399">
        <v>34.155999999999999</v>
      </c>
      <c r="R126" s="399"/>
      <c r="S126" s="399">
        <v>395.23</v>
      </c>
      <c r="T126" s="399">
        <v>297.72000000000003</v>
      </c>
      <c r="U126" s="399"/>
      <c r="V126" s="399">
        <v>23668.4002</v>
      </c>
      <c r="W126" s="399">
        <v>23668.4002</v>
      </c>
      <c r="X126" s="399">
        <v>20976.907399999996</v>
      </c>
      <c r="Y126" s="399">
        <v>0</v>
      </c>
      <c r="Z126" s="399">
        <v>2070.2504353565623</v>
      </c>
      <c r="AA126" s="399">
        <v>0</v>
      </c>
      <c r="AB126" s="399">
        <v>0</v>
      </c>
      <c r="AC126" s="399">
        <v>0</v>
      </c>
      <c r="AD126" s="399">
        <v>3395.0211184960626</v>
      </c>
      <c r="AE126" s="399">
        <v>6836.1460279844605</v>
      </c>
      <c r="AF126" s="399">
        <v>10169.056058878472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320.07203021268339</v>
      </c>
      <c r="AM126" s="399"/>
      <c r="AN126" s="399">
        <v>30.412056199608379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847.54027372600149</v>
      </c>
      <c r="BH126" s="399">
        <v>0</v>
      </c>
      <c r="BI126" s="399">
        <v>0</v>
      </c>
      <c r="BJ126" s="399">
        <v>0</v>
      </c>
      <c r="BK126" s="399">
        <v>4711.45</v>
      </c>
      <c r="BL126" s="399">
        <v>256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11016.596332604473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20979.363999999994</v>
      </c>
      <c r="CJ126" s="399">
        <v>-2689.0662000000048</v>
      </c>
      <c r="CK126" s="399"/>
      <c r="CL126" s="399"/>
      <c r="CM126" s="399"/>
      <c r="CN126" s="399"/>
      <c r="CO126" s="399">
        <v>-3128.0064800000014</v>
      </c>
      <c r="CP126" s="399">
        <v>436.51367999999906</v>
      </c>
      <c r="CQ126" s="399">
        <v>31</v>
      </c>
      <c r="CR126" s="399">
        <v>842.42264740671817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-26.163895957452496</v>
      </c>
      <c r="DA126" s="399">
        <v>0</v>
      </c>
      <c r="DB126" s="399">
        <v>0</v>
      </c>
      <c r="DC126" s="399">
        <v>436.35809202198107</v>
      </c>
      <c r="DD126" s="399">
        <v>0</v>
      </c>
      <c r="DE126" s="399">
        <v>0</v>
      </c>
      <c r="DF126" s="399">
        <v>0</v>
      </c>
      <c r="DG126" s="399">
        <v>36.368277902446607</v>
      </c>
      <c r="DH126" s="399">
        <v>0</v>
      </c>
      <c r="DI126" s="399">
        <v>345.62188742895887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46.613087141830135</v>
      </c>
      <c r="DP126" s="399">
        <v>3.6251988689530705</v>
      </c>
      <c r="DQ126" s="399">
        <v>0</v>
      </c>
      <c r="DR126" s="399">
        <v>0</v>
      </c>
      <c r="DS126" s="399"/>
      <c r="DT126" s="399"/>
      <c r="DU126" s="399"/>
      <c r="DV126" s="399">
        <v>6836.1460279844605</v>
      </c>
      <c r="DW126" s="399">
        <v>0</v>
      </c>
      <c r="DX126" s="399">
        <v>0</v>
      </c>
      <c r="DY126" s="399">
        <v>-3128.0064800000018</v>
      </c>
      <c r="DZ126" s="399">
        <v>436.51368000000002</v>
      </c>
      <c r="EA126" s="399">
        <v>0</v>
      </c>
      <c r="EB126" s="399">
        <v>0</v>
      </c>
      <c r="EC126" s="399">
        <v>-3534.1920142550503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232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7" customFormat="1">
      <c r="A127" s="399">
        <v>127</v>
      </c>
      <c r="B127" s="399" t="s">
        <v>2330</v>
      </c>
      <c r="C127" s="399" t="s">
        <v>2328</v>
      </c>
      <c r="D127" s="399" t="s">
        <v>1821</v>
      </c>
      <c r="E127" s="399" t="s">
        <v>889</v>
      </c>
      <c r="F127" s="399" t="s">
        <v>889</v>
      </c>
      <c r="G127" s="399" t="s">
        <v>1239</v>
      </c>
      <c r="H127" s="399" t="s">
        <v>1239</v>
      </c>
      <c r="I127" s="399" t="s">
        <v>1239</v>
      </c>
      <c r="J127" s="399" t="s">
        <v>2326</v>
      </c>
      <c r="K127" s="788">
        <v>44621</v>
      </c>
      <c r="L127" s="399">
        <v>0</v>
      </c>
      <c r="M127" s="399">
        <v>0</v>
      </c>
      <c r="N127" s="399">
        <v>0.22900000000000001</v>
      </c>
      <c r="O127" s="399">
        <v>0.22900000000000001</v>
      </c>
      <c r="P127" s="399">
        <v>0.22900000000000001</v>
      </c>
      <c r="Q127" s="399">
        <v>0.22900000000000001</v>
      </c>
      <c r="R127" s="399"/>
      <c r="S127" s="399">
        <v>395.23</v>
      </c>
      <c r="T127" s="399">
        <v>297.72000000000003</v>
      </c>
      <c r="U127" s="399"/>
      <c r="V127" s="399">
        <v>158.68555000000003</v>
      </c>
      <c r="W127" s="399">
        <v>158.68555000000003</v>
      </c>
      <c r="X127" s="399">
        <v>140.64035000000001</v>
      </c>
      <c r="Y127" s="399">
        <v>0</v>
      </c>
      <c r="Z127" s="399">
        <v>13.88006059540499</v>
      </c>
      <c r="AA127" s="399">
        <v>0</v>
      </c>
      <c r="AB127" s="399">
        <v>0</v>
      </c>
      <c r="AC127" s="399">
        <v>0</v>
      </c>
      <c r="AD127" s="399">
        <v>22.762028227415339</v>
      </c>
      <c r="AE127" s="399">
        <v>45.833160803619904</v>
      </c>
      <c r="AF127" s="399">
        <v>68.178763247545675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2.1459332157953068</v>
      </c>
      <c r="AM127" s="399"/>
      <c r="AN127" s="399">
        <v>0.20389860843513055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5.6823610107522642</v>
      </c>
      <c r="BH127" s="399">
        <v>0</v>
      </c>
      <c r="BI127" s="399">
        <v>0</v>
      </c>
      <c r="BJ127" s="399">
        <v>0</v>
      </c>
      <c r="BK127" s="399">
        <v>49.16</v>
      </c>
      <c r="BL127" s="399">
        <v>1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73.861124258297934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141.25450000000001</v>
      </c>
      <c r="CJ127" s="399">
        <v>-17.46105</v>
      </c>
      <c r="CK127" s="399"/>
      <c r="CL127" s="399"/>
      <c r="CM127" s="399"/>
      <c r="CN127" s="399"/>
      <c r="CO127" s="399">
        <v>-20.971820000000012</v>
      </c>
      <c r="CP127" s="399">
        <v>2.926619999999994</v>
      </c>
      <c r="CQ127" s="399">
        <v>31</v>
      </c>
      <c r="CR127" s="399">
        <v>5.6480497205802607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-0.17541668152759371</v>
      </c>
      <c r="DA127" s="399">
        <v>0</v>
      </c>
      <c r="DB127" s="399">
        <v>0</v>
      </c>
      <c r="DC127" s="399">
        <v>2.9255768553997541</v>
      </c>
      <c r="DD127" s="399">
        <v>0</v>
      </c>
      <c r="DE127" s="399">
        <v>0</v>
      </c>
      <c r="DF127" s="399">
        <v>0</v>
      </c>
      <c r="DG127" s="399">
        <v>0.24383228831421455</v>
      </c>
      <c r="DH127" s="399">
        <v>0</v>
      </c>
      <c r="DI127" s="399">
        <v>2.3172330548434115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0.31251894119566392</v>
      </c>
      <c r="DP127" s="399">
        <v>2.4305262354791357E-2</v>
      </c>
      <c r="DQ127" s="399">
        <v>0</v>
      </c>
      <c r="DR127" s="399">
        <v>0</v>
      </c>
      <c r="DS127" s="399"/>
      <c r="DT127" s="399"/>
      <c r="DU127" s="399"/>
      <c r="DV127" s="399">
        <v>45.833160803619904</v>
      </c>
      <c r="DW127" s="399">
        <v>0</v>
      </c>
      <c r="DX127" s="399">
        <v>0</v>
      </c>
      <c r="DY127" s="399">
        <v>-20.971820000000008</v>
      </c>
      <c r="DZ127" s="399">
        <v>2.9266199999999856</v>
      </c>
      <c r="EA127" s="399">
        <v>0</v>
      </c>
      <c r="EB127" s="399">
        <v>0</v>
      </c>
      <c r="EC127" s="399">
        <v>-23.695103971905564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232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7" customFormat="1">
      <c r="A128" s="399">
        <v>128</v>
      </c>
      <c r="B128" s="399" t="s">
        <v>956</v>
      </c>
      <c r="C128" s="399" t="s">
        <v>2328</v>
      </c>
      <c r="D128" s="399" t="s">
        <v>1821</v>
      </c>
      <c r="E128" s="399" t="s">
        <v>889</v>
      </c>
      <c r="F128" s="399" t="s">
        <v>2331</v>
      </c>
      <c r="G128" s="399" t="s">
        <v>1239</v>
      </c>
      <c r="H128" s="399" t="s">
        <v>1239</v>
      </c>
      <c r="I128" s="399" t="s">
        <v>1239</v>
      </c>
      <c r="J128" s="399" t="s">
        <v>2326</v>
      </c>
      <c r="K128" s="788">
        <v>44621</v>
      </c>
      <c r="L128" s="399">
        <v>0</v>
      </c>
      <c r="M128" s="399">
        <v>0</v>
      </c>
      <c r="N128" s="399">
        <v>0.3</v>
      </c>
      <c r="O128" s="399">
        <v>0.3</v>
      </c>
      <c r="P128" s="399">
        <v>0.3</v>
      </c>
      <c r="Q128" s="399">
        <v>0.3</v>
      </c>
      <c r="R128" s="399"/>
      <c r="S128" s="399">
        <v>325.25</v>
      </c>
      <c r="T128" s="399">
        <v>297.72000000000003</v>
      </c>
      <c r="U128" s="399"/>
      <c r="V128" s="399">
        <v>186.89100000000002</v>
      </c>
      <c r="W128" s="399">
        <v>186.89100000000002</v>
      </c>
      <c r="X128" s="399">
        <v>159.80399999999997</v>
      </c>
      <c r="Y128" s="399">
        <v>0</v>
      </c>
      <c r="Z128" s="399">
        <v>0</v>
      </c>
      <c r="AA128" s="399">
        <v>0</v>
      </c>
      <c r="AB128" s="399">
        <v>0</v>
      </c>
      <c r="AC128" s="399">
        <v>0</v>
      </c>
      <c r="AD128" s="399">
        <v>29.819250952945858</v>
      </c>
      <c r="AE128" s="399">
        <v>60.043442100812101</v>
      </c>
      <c r="AF128" s="399">
        <v>89.3171570928546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0</v>
      </c>
      <c r="AM128" s="399"/>
      <c r="AN128" s="399">
        <v>0.26711608091938499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7.4441410621208703</v>
      </c>
      <c r="BH128" s="399">
        <v>0</v>
      </c>
      <c r="BI128" s="399">
        <v>0</v>
      </c>
      <c r="BJ128" s="399">
        <v>0</v>
      </c>
      <c r="BK128" s="399">
        <v>7.3</v>
      </c>
      <c r="BL128" s="399">
        <v>1</v>
      </c>
      <c r="BM128" s="399"/>
      <c r="BN128" s="399"/>
      <c r="BO128" s="399"/>
      <c r="BP128" s="399"/>
      <c r="BQ128" s="399"/>
      <c r="BR128" s="399"/>
      <c r="BS128" s="399"/>
      <c r="BT128" s="399">
        <v>103.875</v>
      </c>
      <c r="BU128" s="399"/>
      <c r="BV128" s="399">
        <v>96.761298154975464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55.929000000000002</v>
      </c>
      <c r="CJ128" s="399">
        <v>-9.512999999999991</v>
      </c>
      <c r="CK128" s="399"/>
      <c r="CL128" s="399"/>
      <c r="CM128" s="399"/>
      <c r="CN128" s="399"/>
      <c r="CO128" s="399">
        <v>-30.920999999999996</v>
      </c>
      <c r="CP128" s="399">
        <v>3.8339999999999916</v>
      </c>
      <c r="CQ128" s="399">
        <v>31</v>
      </c>
      <c r="CR128" s="399">
        <v>3.9541018225430093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-0.22980351291824874</v>
      </c>
      <c r="DA128" s="399">
        <v>0</v>
      </c>
      <c r="DB128" s="399">
        <v>0</v>
      </c>
      <c r="DC128" s="399">
        <v>3.8326334350215063</v>
      </c>
      <c r="DD128" s="399">
        <v>0</v>
      </c>
      <c r="DE128" s="399">
        <v>0</v>
      </c>
      <c r="DF128" s="399">
        <v>0</v>
      </c>
      <c r="DG128" s="399">
        <v>0.31943094538979899</v>
      </c>
      <c r="DH128" s="399">
        <v>0</v>
      </c>
      <c r="DI128" s="399">
        <v>0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0</v>
      </c>
      <c r="DP128" s="399">
        <v>3.1840955049944997E-2</v>
      </c>
      <c r="DQ128" s="399">
        <v>0</v>
      </c>
      <c r="DR128" s="399">
        <v>0</v>
      </c>
      <c r="DS128" s="399"/>
      <c r="DT128" s="399"/>
      <c r="DU128" s="399"/>
      <c r="DV128" s="399">
        <v>60.043442100812101</v>
      </c>
      <c r="DW128" s="399">
        <v>0</v>
      </c>
      <c r="DX128" s="399">
        <v>0</v>
      </c>
      <c r="DY128" s="399">
        <v>-30.921000000000006</v>
      </c>
      <c r="DZ128" s="399">
        <v>3.833999999999989</v>
      </c>
      <c r="EA128" s="399">
        <v>0</v>
      </c>
      <c r="EB128" s="399">
        <v>0</v>
      </c>
      <c r="EC128" s="399">
        <v>-31.041620923893753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232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7" customFormat="1">
      <c r="A129" s="399">
        <v>129</v>
      </c>
      <c r="B129" s="399" t="s">
        <v>956</v>
      </c>
      <c r="C129" s="399" t="s">
        <v>2328</v>
      </c>
      <c r="D129" s="399" t="s">
        <v>1821</v>
      </c>
      <c r="E129" s="399" t="s">
        <v>889</v>
      </c>
      <c r="F129" s="399" t="s">
        <v>2332</v>
      </c>
      <c r="G129" s="399" t="s">
        <v>1239</v>
      </c>
      <c r="H129" s="399" t="s">
        <v>1239</v>
      </c>
      <c r="I129" s="399" t="s">
        <v>1239</v>
      </c>
      <c r="J129" s="399" t="s">
        <v>2326</v>
      </c>
      <c r="K129" s="788">
        <v>44621</v>
      </c>
      <c r="L129" s="399">
        <v>0</v>
      </c>
      <c r="M129" s="399">
        <v>0</v>
      </c>
      <c r="N129" s="399">
        <v>0.56100000000000005</v>
      </c>
      <c r="O129" s="399">
        <v>0.56100000000000005</v>
      </c>
      <c r="P129" s="399">
        <v>0.56100000000000005</v>
      </c>
      <c r="Q129" s="399">
        <v>0.56100000000000005</v>
      </c>
      <c r="R129" s="399"/>
      <c r="S129" s="399">
        <v>325.25</v>
      </c>
      <c r="T129" s="399">
        <v>297.72000000000003</v>
      </c>
      <c r="U129" s="399"/>
      <c r="V129" s="399">
        <v>349.48617000000002</v>
      </c>
      <c r="W129" s="399">
        <v>349.48617000000002</v>
      </c>
      <c r="X129" s="399">
        <v>298.83348000000001</v>
      </c>
      <c r="Y129" s="399">
        <v>0</v>
      </c>
      <c r="Z129" s="399">
        <v>0</v>
      </c>
      <c r="AA129" s="399">
        <v>0</v>
      </c>
      <c r="AB129" s="399">
        <v>0</v>
      </c>
      <c r="AC129" s="399">
        <v>0</v>
      </c>
      <c r="AD129" s="399">
        <v>55.761999282008759</v>
      </c>
      <c r="AE129" s="399">
        <v>112.28123672851865</v>
      </c>
      <c r="AF129" s="399">
        <v>167.02308376363811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0</v>
      </c>
      <c r="AM129" s="399"/>
      <c r="AN129" s="399">
        <v>0.49950707131924998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13.920543786166029</v>
      </c>
      <c r="BH129" s="399">
        <v>0</v>
      </c>
      <c r="BI129" s="399">
        <v>0</v>
      </c>
      <c r="BJ129" s="399">
        <v>0</v>
      </c>
      <c r="BK129" s="399">
        <v>23.72</v>
      </c>
      <c r="BL129" s="399">
        <v>1</v>
      </c>
      <c r="BM129" s="399"/>
      <c r="BN129" s="399"/>
      <c r="BO129" s="399"/>
      <c r="BP129" s="399"/>
      <c r="BQ129" s="399"/>
      <c r="BR129" s="399"/>
      <c r="BS129" s="399"/>
      <c r="BT129" s="399">
        <v>119.53227000000001</v>
      </c>
      <c r="BU129" s="399"/>
      <c r="BV129" s="399">
        <v>180.94362754980415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178.98160000000001</v>
      </c>
      <c r="CJ129" s="399">
        <v>-30.738980000000026</v>
      </c>
      <c r="CK129" s="399"/>
      <c r="CL129" s="399"/>
      <c r="CM129" s="399"/>
      <c r="CN129" s="399"/>
      <c r="CO129" s="399">
        <v>-57.822270000000003</v>
      </c>
      <c r="CP129" s="399">
        <v>7.1695799999999856</v>
      </c>
      <c r="CQ129" s="399">
        <v>31</v>
      </c>
      <c r="CR129" s="399">
        <v>7.3941704081554178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-0.42973256915712454</v>
      </c>
      <c r="DA129" s="399">
        <v>0</v>
      </c>
      <c r="DB129" s="399">
        <v>0</v>
      </c>
      <c r="DC129" s="399">
        <v>7.1670245234902268</v>
      </c>
      <c r="DD129" s="399">
        <v>0</v>
      </c>
      <c r="DE129" s="399">
        <v>0</v>
      </c>
      <c r="DF129" s="399">
        <v>0</v>
      </c>
      <c r="DG129" s="399">
        <v>0.59733586787892534</v>
      </c>
      <c r="DH129" s="399">
        <v>0</v>
      </c>
      <c r="DI129" s="399">
        <v>0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0</v>
      </c>
      <c r="DP129" s="399">
        <v>5.954258594339723E-2</v>
      </c>
      <c r="DQ129" s="399">
        <v>0</v>
      </c>
      <c r="DR129" s="399">
        <v>0</v>
      </c>
      <c r="DS129" s="399"/>
      <c r="DT129" s="399"/>
      <c r="DU129" s="399"/>
      <c r="DV129" s="399">
        <v>112.28123672851865</v>
      </c>
      <c r="DW129" s="399">
        <v>0</v>
      </c>
      <c r="DX129" s="399">
        <v>0</v>
      </c>
      <c r="DY129" s="399">
        <v>-57.822270000000003</v>
      </c>
      <c r="DZ129" s="399">
        <v>7.1695799999999963</v>
      </c>
      <c r="EA129" s="399">
        <v>0</v>
      </c>
      <c r="EB129" s="399">
        <v>0</v>
      </c>
      <c r="EC129" s="399">
        <v>-58.047831127681334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232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7" customFormat="1">
      <c r="A130" s="399">
        <v>130</v>
      </c>
      <c r="B130" s="399" t="s">
        <v>956</v>
      </c>
      <c r="C130" s="399" t="s">
        <v>2328</v>
      </c>
      <c r="D130" s="399" t="s">
        <v>1821</v>
      </c>
      <c r="E130" s="399" t="s">
        <v>889</v>
      </c>
      <c r="F130" s="399" t="s">
        <v>2333</v>
      </c>
      <c r="G130" s="399" t="s">
        <v>1239</v>
      </c>
      <c r="H130" s="399" t="s">
        <v>1239</v>
      </c>
      <c r="I130" s="399" t="s">
        <v>1239</v>
      </c>
      <c r="J130" s="399" t="s">
        <v>2326</v>
      </c>
      <c r="K130" s="788">
        <v>44621</v>
      </c>
      <c r="L130" s="399">
        <v>0</v>
      </c>
      <c r="M130" s="399">
        <v>0</v>
      </c>
      <c r="N130" s="399">
        <v>0.77600000000000002</v>
      </c>
      <c r="O130" s="399">
        <v>0.77600000000000002</v>
      </c>
      <c r="P130" s="399">
        <v>0.77600000000000002</v>
      </c>
      <c r="Q130" s="399">
        <v>0.77600000000000002</v>
      </c>
      <c r="R130" s="399"/>
      <c r="S130" s="399">
        <v>325.25</v>
      </c>
      <c r="T130" s="399">
        <v>297.72000000000003</v>
      </c>
      <c r="U130" s="399"/>
      <c r="V130" s="399">
        <v>483.42472000000004</v>
      </c>
      <c r="W130" s="399">
        <v>483.42472000000004</v>
      </c>
      <c r="X130" s="399">
        <v>413.35968000000003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77.132462464953292</v>
      </c>
      <c r="AE130" s="399">
        <v>155.31237023410065</v>
      </c>
      <c r="AF130" s="399">
        <v>231.03371301351723</v>
      </c>
      <c r="AG130" s="399">
        <v>0</v>
      </c>
      <c r="AH130" s="399">
        <v>0</v>
      </c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0.69094026264480923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19.255511547352651</v>
      </c>
      <c r="BH130" s="399">
        <v>0</v>
      </c>
      <c r="BI130" s="399">
        <v>0</v>
      </c>
      <c r="BJ130" s="399">
        <v>0</v>
      </c>
      <c r="BK130" s="399">
        <v>86.4</v>
      </c>
      <c r="BL130" s="399">
        <v>4</v>
      </c>
      <c r="BM130" s="399"/>
      <c r="BN130" s="399"/>
      <c r="BO130" s="399"/>
      <c r="BP130" s="399"/>
      <c r="BQ130" s="399"/>
      <c r="BR130" s="399"/>
      <c r="BS130" s="399"/>
      <c r="BT130" s="399">
        <v>41.337520000000012</v>
      </c>
      <c r="BU130" s="399"/>
      <c r="BV130" s="399">
        <v>250.28922456086988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373.93979999999999</v>
      </c>
      <c r="CJ130" s="399">
        <v>-61.170119999999997</v>
      </c>
      <c r="CK130" s="399"/>
      <c r="CL130" s="399"/>
      <c r="CM130" s="399"/>
      <c r="CN130" s="399"/>
      <c r="CO130" s="399">
        <v>-79.982320000000001</v>
      </c>
      <c r="CP130" s="399">
        <v>9.9172799999999786</v>
      </c>
      <c r="CQ130" s="399">
        <v>31</v>
      </c>
      <c r="CR130" s="399">
        <v>10.227943380977933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-0.59442508674852945</v>
      </c>
      <c r="DA130" s="399">
        <v>0</v>
      </c>
      <c r="DB130" s="399">
        <v>0</v>
      </c>
      <c r="DC130" s="399">
        <v>9.9137451519223134</v>
      </c>
      <c r="DD130" s="399">
        <v>0</v>
      </c>
      <c r="DE130" s="399">
        <v>0</v>
      </c>
      <c r="DF130" s="399">
        <v>0</v>
      </c>
      <c r="DG130" s="399">
        <v>0.82626137874161643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0</v>
      </c>
      <c r="DP130" s="399">
        <v>8.2361937062524371E-2</v>
      </c>
      <c r="DQ130" s="399">
        <v>0</v>
      </c>
      <c r="DR130" s="399">
        <v>0</v>
      </c>
      <c r="DS130" s="399"/>
      <c r="DT130" s="399"/>
      <c r="DU130" s="399"/>
      <c r="DV130" s="399">
        <v>155.31237023410065</v>
      </c>
      <c r="DW130" s="399">
        <v>0</v>
      </c>
      <c r="DX130" s="399">
        <v>0</v>
      </c>
      <c r="DY130" s="399">
        <v>-79.982319999999987</v>
      </c>
      <c r="DZ130" s="399">
        <v>9.9172799999999768</v>
      </c>
      <c r="EA130" s="399">
        <v>0</v>
      </c>
      <c r="EB130" s="399">
        <v>0</v>
      </c>
      <c r="EC130" s="399">
        <v>-80.294326123138518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232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7" customFormat="1">
      <c r="A131" s="399">
        <v>131</v>
      </c>
      <c r="B131" s="399" t="s">
        <v>956</v>
      </c>
      <c r="C131" s="399" t="s">
        <v>2328</v>
      </c>
      <c r="D131" s="399" t="s">
        <v>1821</v>
      </c>
      <c r="E131" s="399" t="s">
        <v>889</v>
      </c>
      <c r="F131" s="399" t="s">
        <v>2334</v>
      </c>
      <c r="G131" s="399" t="s">
        <v>1239</v>
      </c>
      <c r="H131" s="399" t="s">
        <v>1239</v>
      </c>
      <c r="I131" s="399" t="s">
        <v>1239</v>
      </c>
      <c r="J131" s="399" t="s">
        <v>2326</v>
      </c>
      <c r="K131" s="788">
        <v>44621</v>
      </c>
      <c r="L131" s="399">
        <v>0</v>
      </c>
      <c r="M131" s="399">
        <v>0</v>
      </c>
      <c r="N131" s="399">
        <v>0.17799999999999999</v>
      </c>
      <c r="O131" s="399">
        <v>0.17799999999999999</v>
      </c>
      <c r="P131" s="399">
        <v>0.17799999999999999</v>
      </c>
      <c r="Q131" s="399">
        <v>0.17799999999999999</v>
      </c>
      <c r="R131" s="399"/>
      <c r="S131" s="399">
        <v>325.25</v>
      </c>
      <c r="T131" s="399">
        <v>297.72000000000003</v>
      </c>
      <c r="U131" s="399"/>
      <c r="V131" s="399">
        <v>110.88866</v>
      </c>
      <c r="W131" s="399">
        <v>110.88866</v>
      </c>
      <c r="X131" s="399">
        <v>94.817039999999992</v>
      </c>
      <c r="Y131" s="399">
        <v>0</v>
      </c>
      <c r="Z131" s="399">
        <v>0</v>
      </c>
      <c r="AA131" s="399">
        <v>0</v>
      </c>
      <c r="AB131" s="399">
        <v>0</v>
      </c>
      <c r="AC131" s="399">
        <v>0</v>
      </c>
      <c r="AD131" s="399">
        <v>17.692755565414544</v>
      </c>
      <c r="AE131" s="399">
        <v>35.625775646481848</v>
      </c>
      <c r="AF131" s="399">
        <v>52.994846541760396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0</v>
      </c>
      <c r="AM131" s="399"/>
      <c r="AN131" s="399">
        <v>0.15848887467883507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4.416857030191716</v>
      </c>
      <c r="BH131" s="399">
        <v>0</v>
      </c>
      <c r="BI131" s="399">
        <v>0</v>
      </c>
      <c r="BJ131" s="399">
        <v>0</v>
      </c>
      <c r="BK131" s="399">
        <v>30.62</v>
      </c>
      <c r="BL131" s="399">
        <v>4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57.41170357195211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95.88239999999999</v>
      </c>
      <c r="CJ131" s="399">
        <v>-15.036260000000013</v>
      </c>
      <c r="CK131" s="399"/>
      <c r="CL131" s="399"/>
      <c r="CM131" s="399"/>
      <c r="CN131" s="399"/>
      <c r="CO131" s="399">
        <v>-18.346459999999997</v>
      </c>
      <c r="CP131" s="399">
        <v>2.2748399999999949</v>
      </c>
      <c r="CQ131" s="399">
        <v>31</v>
      </c>
      <c r="CR131" s="399">
        <v>2.3461004147088289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-0.13635008433149665</v>
      </c>
      <c r="DA131" s="399">
        <v>0</v>
      </c>
      <c r="DB131" s="399">
        <v>0</v>
      </c>
      <c r="DC131" s="399">
        <v>2.2740291714460881</v>
      </c>
      <c r="DD131" s="399">
        <v>0</v>
      </c>
      <c r="DE131" s="399">
        <v>0</v>
      </c>
      <c r="DF131" s="399">
        <v>0</v>
      </c>
      <c r="DG131" s="399">
        <v>0.18952902759794821</v>
      </c>
      <c r="DH131" s="399">
        <v>0</v>
      </c>
      <c r="DI131" s="399">
        <v>0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0</v>
      </c>
      <c r="DP131" s="399">
        <v>1.8892299996300738E-2</v>
      </c>
      <c r="DQ131" s="399">
        <v>0</v>
      </c>
      <c r="DR131" s="399">
        <v>0</v>
      </c>
      <c r="DS131" s="399"/>
      <c r="DT131" s="399"/>
      <c r="DU131" s="399"/>
      <c r="DV131" s="399">
        <v>35.625775646481848</v>
      </c>
      <c r="DW131" s="399">
        <v>0</v>
      </c>
      <c r="DX131" s="399">
        <v>0</v>
      </c>
      <c r="DY131" s="399">
        <v>-18.34646</v>
      </c>
      <c r="DZ131" s="399">
        <v>2.2748399999999975</v>
      </c>
      <c r="EA131" s="399">
        <v>0</v>
      </c>
      <c r="EB131" s="399">
        <v>0</v>
      </c>
      <c r="EC131" s="399">
        <v>-18.418028414843629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232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7" customFormat="1">
      <c r="A132" s="399">
        <v>132</v>
      </c>
      <c r="B132" s="399" t="s">
        <v>956</v>
      </c>
      <c r="C132" s="399" t="s">
        <v>2328</v>
      </c>
      <c r="D132" s="399" t="s">
        <v>1824</v>
      </c>
      <c r="E132" s="399" t="s">
        <v>890</v>
      </c>
      <c r="F132" s="399" t="s">
        <v>1239</v>
      </c>
      <c r="G132" s="399" t="s">
        <v>1239</v>
      </c>
      <c r="H132" s="399" t="s">
        <v>1239</v>
      </c>
      <c r="I132" s="399" t="s">
        <v>1239</v>
      </c>
      <c r="J132" s="399" t="s">
        <v>2326</v>
      </c>
      <c r="K132" s="788">
        <v>44621</v>
      </c>
      <c r="L132" s="399">
        <v>0</v>
      </c>
      <c r="M132" s="399">
        <v>0</v>
      </c>
      <c r="N132" s="399">
        <v>1.302</v>
      </c>
      <c r="O132" s="399">
        <v>1.302</v>
      </c>
      <c r="P132" s="399">
        <v>1.302</v>
      </c>
      <c r="Q132" s="399">
        <v>1.302</v>
      </c>
      <c r="R132" s="399"/>
      <c r="S132" s="399">
        <v>395.23</v>
      </c>
      <c r="T132" s="399">
        <v>297.72000000000003</v>
      </c>
      <c r="U132" s="399"/>
      <c r="V132" s="399">
        <v>902.22090000000003</v>
      </c>
      <c r="W132" s="399">
        <v>902.22090000000003</v>
      </c>
      <c r="X132" s="399">
        <v>799.62329999999997</v>
      </c>
      <c r="Y132" s="399">
        <v>0</v>
      </c>
      <c r="Z132" s="399">
        <v>78.916327053350642</v>
      </c>
      <c r="AA132" s="399">
        <v>0</v>
      </c>
      <c r="AB132" s="399">
        <v>0</v>
      </c>
      <c r="AC132" s="399">
        <v>0</v>
      </c>
      <c r="AD132" s="399">
        <v>129.41554913578503</v>
      </c>
      <c r="AE132" s="399">
        <v>260.58853871752456</v>
      </c>
      <c r="AF132" s="399">
        <v>387.63646178298899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12.200895401596023</v>
      </c>
      <c r="AM132" s="399"/>
      <c r="AN132" s="399">
        <v>1.1592837911901308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32.307572209604579</v>
      </c>
      <c r="BH132" s="399">
        <v>0</v>
      </c>
      <c r="BI132" s="399">
        <v>0</v>
      </c>
      <c r="BJ132" s="399">
        <v>0</v>
      </c>
      <c r="BK132" s="399">
        <v>319.92</v>
      </c>
      <c r="BL132" s="399">
        <v>2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419.94403399259357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798.39499999999998</v>
      </c>
      <c r="CJ132" s="399">
        <v>-103.85590000000002</v>
      </c>
      <c r="CK132" s="399"/>
      <c r="CL132" s="399"/>
      <c r="CM132" s="399"/>
      <c r="CN132" s="399"/>
      <c r="CO132" s="399">
        <v>-119.23716000000006</v>
      </c>
      <c r="CP132" s="399">
        <v>16.639559999999964</v>
      </c>
      <c r="CQ132" s="399">
        <v>31</v>
      </c>
      <c r="CR132" s="399">
        <v>32.112492297796734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-0.99734724606520331</v>
      </c>
      <c r="DA132" s="399">
        <v>0</v>
      </c>
      <c r="DB132" s="399">
        <v>0</v>
      </c>
      <c r="DC132" s="399">
        <v>16.633629107993329</v>
      </c>
      <c r="DD132" s="399">
        <v>0</v>
      </c>
      <c r="DE132" s="399">
        <v>0</v>
      </c>
      <c r="DF132" s="399">
        <v>0</v>
      </c>
      <c r="DG132" s="399">
        <v>1.3863303029917304</v>
      </c>
      <c r="DH132" s="399">
        <v>0</v>
      </c>
      <c r="DI132" s="399">
        <v>13.174835971205766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1.7768544167543876</v>
      </c>
      <c r="DP132" s="399">
        <v>0.1381897449167615</v>
      </c>
      <c r="DQ132" s="399">
        <v>0</v>
      </c>
      <c r="DR132" s="399">
        <v>0</v>
      </c>
      <c r="DS132" s="399"/>
      <c r="DT132" s="399"/>
      <c r="DU132" s="399"/>
      <c r="DV132" s="399">
        <v>260.58853871752456</v>
      </c>
      <c r="DW132" s="399">
        <v>0</v>
      </c>
      <c r="DX132" s="399">
        <v>0</v>
      </c>
      <c r="DY132" s="399">
        <v>-119.23716000000007</v>
      </c>
      <c r="DZ132" s="399">
        <v>16.63955999999996</v>
      </c>
      <c r="EA132" s="399">
        <v>0</v>
      </c>
      <c r="EB132" s="399">
        <v>0</v>
      </c>
      <c r="EC132" s="399">
        <v>-134.72063480969894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232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133</v>
      </c>
      <c r="B133" s="399" t="s">
        <v>956</v>
      </c>
      <c r="C133" s="399" t="s">
        <v>2343</v>
      </c>
      <c r="D133" s="399" t="s">
        <v>533</v>
      </c>
      <c r="E133" s="399" t="s">
        <v>890</v>
      </c>
      <c r="F133" s="399" t="s">
        <v>1239</v>
      </c>
      <c r="G133" s="399" t="s">
        <v>1239</v>
      </c>
      <c r="H133" s="399" t="s">
        <v>1239</v>
      </c>
      <c r="I133" s="399" t="s">
        <v>893</v>
      </c>
      <c r="J133" s="399" t="s">
        <v>2326</v>
      </c>
      <c r="K133" s="788">
        <v>44621</v>
      </c>
      <c r="L133" s="399">
        <v>715</v>
      </c>
      <c r="M133" s="399">
        <v>715</v>
      </c>
      <c r="N133" s="399">
        <v>34.512</v>
      </c>
      <c r="O133" s="399">
        <v>34.512</v>
      </c>
      <c r="P133" s="399">
        <v>34.512</v>
      </c>
      <c r="Q133" s="399">
        <v>34.512</v>
      </c>
      <c r="R133" s="399">
        <v>78.569999999999993</v>
      </c>
      <c r="S133" s="399">
        <v>72.290000000000006</v>
      </c>
      <c r="T133" s="399">
        <v>297.72000000000003</v>
      </c>
      <c r="U133" s="399">
        <v>56177.549999999996</v>
      </c>
      <c r="V133" s="399">
        <v>12769.78512</v>
      </c>
      <c r="W133" s="399">
        <v>68947.335119999989</v>
      </c>
      <c r="X133" s="399">
        <v>51816.601280000003</v>
      </c>
      <c r="Y133" s="399">
        <v>0</v>
      </c>
      <c r="Z133" s="399">
        <v>1819.8905091864506</v>
      </c>
      <c r="AA133" s="399">
        <v>0</v>
      </c>
      <c r="AB133" s="399">
        <v>0</v>
      </c>
      <c r="AC133" s="399">
        <v>0</v>
      </c>
      <c r="AD133" s="399">
        <v>21794.517656357159</v>
      </c>
      <c r="AE133" s="399">
        <v>34384.966773572196</v>
      </c>
      <c r="AF133" s="399">
        <v>10275.045751961992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323.40806612894158</v>
      </c>
      <c r="AM133" s="399"/>
      <c r="AN133" s="399">
        <v>20.809141674319818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330.64058227003596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10605.686334232028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51815.814400000003</v>
      </c>
      <c r="CJ133" s="399">
        <v>-17131.550719999985</v>
      </c>
      <c r="CK133" s="399"/>
      <c r="CL133" s="399"/>
      <c r="CM133" s="399"/>
      <c r="CN133" s="399"/>
      <c r="CO133" s="399">
        <v>-17571.797199999997</v>
      </c>
      <c r="CP133" s="399">
        <v>441.06335999999908</v>
      </c>
      <c r="CQ133" s="399">
        <v>31</v>
      </c>
      <c r="CR133" s="399">
        <v>640.53805491329695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-167.96051408843778</v>
      </c>
      <c r="DA133" s="399">
        <v>0</v>
      </c>
      <c r="DB133" s="399">
        <v>0</v>
      </c>
      <c r="DC133" s="399">
        <v>440.90615036487543</v>
      </c>
      <c r="DD133" s="399">
        <v>0</v>
      </c>
      <c r="DE133" s="399">
        <v>0</v>
      </c>
      <c r="DF133" s="399">
        <v>0</v>
      </c>
      <c r="DG133" s="399">
        <v>14.187914078653989</v>
      </c>
      <c r="DH133" s="399">
        <v>0</v>
      </c>
      <c r="DI133" s="399">
        <v>303.82507447256262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47.098924447793706</v>
      </c>
      <c r="DP133" s="399">
        <v>2.4805056378463242</v>
      </c>
      <c r="DQ133" s="399">
        <v>0</v>
      </c>
      <c r="DR133" s="399">
        <v>0</v>
      </c>
      <c r="DS133" s="399"/>
      <c r="DT133" s="399"/>
      <c r="DU133" s="399">
        <v>34384.966773572196</v>
      </c>
      <c r="DV133" s="399">
        <v>0</v>
      </c>
      <c r="DW133" s="399">
        <v>0</v>
      </c>
      <c r="DX133" s="399">
        <v>0</v>
      </c>
      <c r="DY133" s="399">
        <v>-17571.797199999994</v>
      </c>
      <c r="DZ133" s="399">
        <v>441.0633600000001</v>
      </c>
      <c r="EA133" s="399">
        <v>0</v>
      </c>
      <c r="EB133" s="399">
        <v>0</v>
      </c>
      <c r="EC133" s="399">
        <v>-17776.547558246544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232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134</v>
      </c>
      <c r="B134" s="399" t="s">
        <v>956</v>
      </c>
      <c r="C134" s="399" t="s">
        <v>2343</v>
      </c>
      <c r="D134" s="399" t="s">
        <v>533</v>
      </c>
      <c r="E134" s="399" t="s">
        <v>890</v>
      </c>
      <c r="F134" s="399" t="s">
        <v>1239</v>
      </c>
      <c r="G134" s="399" t="s">
        <v>1239</v>
      </c>
      <c r="H134" s="399" t="s">
        <v>1239</v>
      </c>
      <c r="I134" s="399" t="s">
        <v>2323</v>
      </c>
      <c r="J134" s="399" t="s">
        <v>2326</v>
      </c>
      <c r="K134" s="788">
        <v>44621</v>
      </c>
      <c r="L134" s="399">
        <v>727</v>
      </c>
      <c r="M134" s="399">
        <v>727</v>
      </c>
      <c r="N134" s="399">
        <v>251.02199999999999</v>
      </c>
      <c r="O134" s="399">
        <v>251.02199999999999</v>
      </c>
      <c r="P134" s="399">
        <v>251.02199999999999</v>
      </c>
      <c r="Q134" s="399">
        <v>251.02199999999999</v>
      </c>
      <c r="R134" s="399">
        <v>25.76</v>
      </c>
      <c r="S134" s="399">
        <v>72.290000000000006</v>
      </c>
      <c r="T134" s="399">
        <v>297.72000000000003</v>
      </c>
      <c r="U134" s="399">
        <v>18727.52</v>
      </c>
      <c r="V134" s="399">
        <v>92880.65022000001</v>
      </c>
      <c r="W134" s="399">
        <v>111608.17022000001</v>
      </c>
      <c r="X134" s="399">
        <v>112371.53567999999</v>
      </c>
      <c r="Y134" s="399">
        <v>0</v>
      </c>
      <c r="Z134" s="399">
        <v>13236.919199032254</v>
      </c>
      <c r="AA134" s="399">
        <v>0</v>
      </c>
      <c r="AB134" s="399">
        <v>0</v>
      </c>
      <c r="AC134" s="399">
        <v>0</v>
      </c>
      <c r="AD134" s="399">
        <v>8956.9143126860799</v>
      </c>
      <c r="AE134" s="399">
        <v>9769.6165012251331</v>
      </c>
      <c r="AF134" s="399">
        <v>74735.238025875151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2352.2988982330544</v>
      </c>
      <c r="AM134" s="399"/>
      <c r="AN134" s="399">
        <v>151.35466971983976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2404.9043881139592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77140.142413989117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112370.7488</v>
      </c>
      <c r="CJ134" s="399">
        <v>762.54857999998785</v>
      </c>
      <c r="CK134" s="399"/>
      <c r="CL134" s="399"/>
      <c r="CM134" s="399"/>
      <c r="CN134" s="399"/>
      <c r="CO134" s="399">
        <v>-2444.6957000000039</v>
      </c>
      <c r="CP134" s="399">
        <v>3208.0611599999929</v>
      </c>
      <c r="CQ134" s="399">
        <v>31</v>
      </c>
      <c r="CR134" s="399">
        <v>5811.5632680611452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-69.026897329207713</v>
      </c>
      <c r="DA134" s="399">
        <v>0</v>
      </c>
      <c r="DB134" s="399">
        <v>0</v>
      </c>
      <c r="DC134" s="399">
        <v>3206.9177004199009</v>
      </c>
      <c r="DD134" s="399">
        <v>0</v>
      </c>
      <c r="DE134" s="399">
        <v>0</v>
      </c>
      <c r="DF134" s="399">
        <v>0</v>
      </c>
      <c r="DG134" s="399">
        <v>103.19536879496627</v>
      </c>
      <c r="DH134" s="399">
        <v>0</v>
      </c>
      <c r="DI134" s="399">
        <v>2209.8625940035818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342.57261858872471</v>
      </c>
      <c r="DP134" s="399">
        <v>18.041883583201752</v>
      </c>
      <c r="DQ134" s="399">
        <v>0</v>
      </c>
      <c r="DR134" s="399">
        <v>0</v>
      </c>
      <c r="DS134" s="399"/>
      <c r="DT134" s="399"/>
      <c r="DU134" s="399">
        <v>9769.6165012251331</v>
      </c>
      <c r="DV134" s="399">
        <v>0</v>
      </c>
      <c r="DW134" s="399">
        <v>0</v>
      </c>
      <c r="DX134" s="399">
        <v>0</v>
      </c>
      <c r="DY134" s="399">
        <v>-2444.6957000000111</v>
      </c>
      <c r="DZ134" s="399">
        <v>3208.0611599999829</v>
      </c>
      <c r="EA134" s="399">
        <v>0</v>
      </c>
      <c r="EB134" s="399">
        <v>0</v>
      </c>
      <c r="EC134" s="399">
        <v>-5050.7552763825506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232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135</v>
      </c>
      <c r="B135" s="399" t="s">
        <v>956</v>
      </c>
      <c r="C135" s="399" t="s">
        <v>2343</v>
      </c>
      <c r="D135" s="399" t="s">
        <v>533</v>
      </c>
      <c r="E135" s="399" t="s">
        <v>890</v>
      </c>
      <c r="F135" s="399" t="s">
        <v>1239</v>
      </c>
      <c r="G135" s="399" t="s">
        <v>1239</v>
      </c>
      <c r="H135" s="399" t="s">
        <v>1239</v>
      </c>
      <c r="I135" s="399" t="s">
        <v>1239</v>
      </c>
      <c r="J135" s="399" t="s">
        <v>2326</v>
      </c>
      <c r="K135" s="788">
        <v>44621</v>
      </c>
      <c r="L135" s="399">
        <v>0</v>
      </c>
      <c r="M135" s="399">
        <v>0</v>
      </c>
      <c r="N135" s="399">
        <v>0</v>
      </c>
      <c r="O135" s="399">
        <v>0</v>
      </c>
      <c r="P135" s="399">
        <v>0</v>
      </c>
      <c r="Q135" s="399">
        <v>0</v>
      </c>
      <c r="R135" s="399"/>
      <c r="S135" s="399"/>
      <c r="T135" s="399"/>
      <c r="U135" s="399"/>
      <c r="V135" s="399"/>
      <c r="W135" s="399"/>
      <c r="X135" s="399"/>
      <c r="Y135" s="399"/>
      <c r="Z135" s="399"/>
      <c r="AA135" s="399">
        <v>0</v>
      </c>
      <c r="AB135" s="399"/>
      <c r="AC135" s="399"/>
      <c r="AD135" s="399"/>
      <c r="AE135" s="399"/>
      <c r="AF135" s="399"/>
      <c r="AG135" s="399"/>
      <c r="AH135" s="399"/>
      <c r="AI135" s="399"/>
      <c r="AJ135" s="399"/>
      <c r="AK135" s="399"/>
      <c r="AL135" s="399"/>
      <c r="AM135" s="399"/>
      <c r="AN135" s="399"/>
      <c r="AO135" s="399"/>
      <c r="AP135" s="399"/>
      <c r="AQ135" s="399"/>
      <c r="AR135" s="399"/>
      <c r="AS135" s="399"/>
      <c r="AT135" s="399"/>
      <c r="AU135" s="399"/>
      <c r="AV135" s="399"/>
      <c r="AW135" s="399"/>
      <c r="AX135" s="399"/>
      <c r="AY135" s="399"/>
      <c r="AZ135" s="399">
        <v>0</v>
      </c>
      <c r="BA135" s="399"/>
      <c r="BB135" s="399"/>
      <c r="BC135" s="399"/>
      <c r="BD135" s="399"/>
      <c r="BE135" s="399"/>
      <c r="BF135" s="399"/>
      <c r="BG135" s="399"/>
      <c r="BH135" s="399"/>
      <c r="BI135" s="399">
        <v>0</v>
      </c>
      <c r="BJ135" s="399">
        <v>0</v>
      </c>
      <c r="BK135" s="399">
        <v>67674.19</v>
      </c>
      <c r="BL135" s="399">
        <v>1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/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/>
      <c r="CJ135" s="399">
        <v>-0.03</v>
      </c>
      <c r="CK135" s="399"/>
      <c r="CL135" s="399"/>
      <c r="CM135" s="399"/>
      <c r="CN135" s="399"/>
      <c r="CO135" s="399">
        <v>0</v>
      </c>
      <c r="CP135" s="399">
        <v>0</v>
      </c>
      <c r="CQ135" s="399">
        <v>31</v>
      </c>
      <c r="CR135" s="399"/>
      <c r="CS135" s="399"/>
      <c r="CT135" s="399"/>
      <c r="CU135" s="399"/>
      <c r="CV135" s="399"/>
      <c r="CW135" s="399"/>
      <c r="CX135" s="399"/>
      <c r="CY135" s="399"/>
      <c r="CZ135" s="399"/>
      <c r="DA135" s="399"/>
      <c r="DB135" s="399"/>
      <c r="DC135" s="399"/>
      <c r="DD135" s="399"/>
      <c r="DE135" s="399"/>
      <c r="DF135" s="399"/>
      <c r="DG135" s="399"/>
      <c r="DH135" s="399"/>
      <c r="DI135" s="399"/>
      <c r="DJ135" s="399"/>
      <c r="DK135" s="399">
        <v>0</v>
      </c>
      <c r="DL135" s="399"/>
      <c r="DM135" s="399"/>
      <c r="DN135" s="399"/>
      <c r="DO135" s="399"/>
      <c r="DP135" s="399"/>
      <c r="DQ135" s="399"/>
      <c r="DR135" s="399"/>
      <c r="DS135" s="399"/>
      <c r="DT135" s="399"/>
      <c r="DU135" s="399"/>
      <c r="DV135" s="399"/>
      <c r="DW135" s="399"/>
      <c r="DX135" s="399"/>
      <c r="DY135" s="399"/>
      <c r="DZ135" s="399"/>
      <c r="EA135" s="399"/>
      <c r="EB135" s="399"/>
      <c r="EC135" s="399"/>
      <c r="ED135" s="399"/>
      <c r="EE135" s="399"/>
      <c r="EF135" s="399"/>
      <c r="EG135" s="399"/>
      <c r="EH135" s="399"/>
      <c r="EI135" s="399"/>
      <c r="EJ135" s="399"/>
      <c r="EK135" s="399"/>
      <c r="EL135" s="399"/>
      <c r="EM135" s="399"/>
      <c r="EN135" s="399"/>
      <c r="EO135" s="399"/>
      <c r="EP135" s="399"/>
      <c r="EQ135" s="399"/>
      <c r="ER135" s="399"/>
      <c r="ES135" s="399"/>
      <c r="ET135" s="399"/>
      <c r="EU135" s="399"/>
      <c r="EV135" s="399">
        <v>232</v>
      </c>
      <c r="EW135" s="399"/>
      <c r="EX135" s="399"/>
      <c r="EY135" s="399"/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136</v>
      </c>
      <c r="B136" s="399" t="s">
        <v>956</v>
      </c>
      <c r="C136" s="399" t="s">
        <v>2325</v>
      </c>
      <c r="D136" s="399" t="s">
        <v>533</v>
      </c>
      <c r="E136" s="399" t="s">
        <v>890</v>
      </c>
      <c r="F136" s="399" t="s">
        <v>1239</v>
      </c>
      <c r="G136" s="399" t="s">
        <v>1239</v>
      </c>
      <c r="H136" s="399" t="s">
        <v>1239</v>
      </c>
      <c r="I136" s="399" t="s">
        <v>893</v>
      </c>
      <c r="J136" s="399" t="s">
        <v>2326</v>
      </c>
      <c r="K136" s="788">
        <v>44621</v>
      </c>
      <c r="L136" s="399">
        <v>0</v>
      </c>
      <c r="M136" s="399">
        <v>0</v>
      </c>
      <c r="N136" s="399">
        <v>49.451000000000001</v>
      </c>
      <c r="O136" s="399">
        <v>49.451000000000001</v>
      </c>
      <c r="P136" s="399">
        <v>49.451000000000001</v>
      </c>
      <c r="Q136" s="399">
        <v>49.451000000000001</v>
      </c>
      <c r="R136" s="399"/>
      <c r="S136" s="399">
        <v>1962.25</v>
      </c>
      <c r="T136" s="399">
        <v>297.72000000000003</v>
      </c>
      <c r="U136" s="399"/>
      <c r="V136" s="399">
        <v>111757.77647</v>
      </c>
      <c r="W136" s="399">
        <v>111757.77647</v>
      </c>
      <c r="X136" s="399">
        <v>83068.284310000003</v>
      </c>
      <c r="Y136" s="399">
        <v>0</v>
      </c>
      <c r="Z136" s="399">
        <v>2607.6554696853027</v>
      </c>
      <c r="AA136" s="399">
        <v>0</v>
      </c>
      <c r="AB136" s="399">
        <v>0</v>
      </c>
      <c r="AC136" s="399">
        <v>0</v>
      </c>
      <c r="AD136" s="399">
        <v>36266.446070068909</v>
      </c>
      <c r="AE136" s="399">
        <v>57194.359168068782</v>
      </c>
      <c r="AF136" s="399">
        <v>14722.742451329175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463.39975307551839</v>
      </c>
      <c r="AM136" s="399"/>
      <c r="AN136" s="399">
        <v>29.816668548237988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473.76296458726091</v>
      </c>
      <c r="BH136" s="399">
        <v>0</v>
      </c>
      <c r="BI136" s="399">
        <v>0</v>
      </c>
      <c r="BJ136" s="399">
        <v>0</v>
      </c>
      <c r="BK136" s="399">
        <v>0</v>
      </c>
      <c r="BL136" s="399">
        <v>0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15196.505415916436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83066.604500000001</v>
      </c>
      <c r="CJ136" s="399">
        <v>-28691.20196999998</v>
      </c>
      <c r="CK136" s="399"/>
      <c r="CL136" s="399"/>
      <c r="CM136" s="399"/>
      <c r="CN136" s="399"/>
      <c r="CO136" s="399">
        <v>-29321.475940000004</v>
      </c>
      <c r="CP136" s="399">
        <v>631.98377999999866</v>
      </c>
      <c r="CQ136" s="399">
        <v>31</v>
      </c>
      <c r="CR136" s="399">
        <v>878.97930133014597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-279.48913676978555</v>
      </c>
      <c r="DA136" s="399">
        <v>0</v>
      </c>
      <c r="DB136" s="399">
        <v>0</v>
      </c>
      <c r="DC136" s="399">
        <v>631.75851998416147</v>
      </c>
      <c r="DD136" s="399">
        <v>0</v>
      </c>
      <c r="DE136" s="399">
        <v>0</v>
      </c>
      <c r="DF136" s="399">
        <v>0</v>
      </c>
      <c r="DG136" s="399">
        <v>20.329350344909528</v>
      </c>
      <c r="DH136" s="399">
        <v>0</v>
      </c>
      <c r="DI136" s="399">
        <v>435.33999066245633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67.486350048326642</v>
      </c>
      <c r="DP136" s="399">
        <v>3.5542270600700725</v>
      </c>
      <c r="DQ136" s="399">
        <v>0</v>
      </c>
      <c r="DR136" s="399">
        <v>0</v>
      </c>
      <c r="DS136" s="399"/>
      <c r="DT136" s="399"/>
      <c r="DU136" s="399"/>
      <c r="DV136" s="399">
        <v>57194.359168068782</v>
      </c>
      <c r="DW136" s="399">
        <v>0</v>
      </c>
      <c r="DX136" s="399">
        <v>0</v>
      </c>
      <c r="DY136" s="399">
        <v>-29321.475939999989</v>
      </c>
      <c r="DZ136" s="399">
        <v>631.98377999999866</v>
      </c>
      <c r="EA136" s="399">
        <v>0</v>
      </c>
      <c r="EB136" s="399">
        <v>0</v>
      </c>
      <c r="EC136" s="399">
        <v>-29568.684841540726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232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137</v>
      </c>
      <c r="B137" s="399" t="s">
        <v>956</v>
      </c>
      <c r="C137" s="399" t="s">
        <v>2325</v>
      </c>
      <c r="D137" s="399" t="s">
        <v>533</v>
      </c>
      <c r="E137" s="399" t="s">
        <v>890</v>
      </c>
      <c r="F137" s="399" t="s">
        <v>1239</v>
      </c>
      <c r="G137" s="399" t="s">
        <v>1239</v>
      </c>
      <c r="H137" s="399" t="s">
        <v>1239</v>
      </c>
      <c r="I137" s="399" t="s">
        <v>2323</v>
      </c>
      <c r="J137" s="399" t="s">
        <v>2326</v>
      </c>
      <c r="K137" s="788">
        <v>44621</v>
      </c>
      <c r="L137" s="399">
        <v>0</v>
      </c>
      <c r="M137" s="399">
        <v>0</v>
      </c>
      <c r="N137" s="399">
        <v>658.04</v>
      </c>
      <c r="O137" s="399">
        <v>658.04</v>
      </c>
      <c r="P137" s="399">
        <v>658.04</v>
      </c>
      <c r="Q137" s="399">
        <v>658.04</v>
      </c>
      <c r="R137" s="399"/>
      <c r="S137" s="399">
        <v>72.290000000000006</v>
      </c>
      <c r="T137" s="399">
        <v>297.72000000000003</v>
      </c>
      <c r="U137" s="399"/>
      <c r="V137" s="399">
        <v>243481.38040000002</v>
      </c>
      <c r="W137" s="399">
        <v>243481.38040000002</v>
      </c>
      <c r="X137" s="399">
        <v>258899.25759999998</v>
      </c>
      <c r="Y137" s="399">
        <v>0</v>
      </c>
      <c r="Z137" s="399">
        <v>34699.836308097234</v>
      </c>
      <c r="AA137" s="399">
        <v>0</v>
      </c>
      <c r="AB137" s="399">
        <v>0</v>
      </c>
      <c r="AC137" s="399">
        <v>0</v>
      </c>
      <c r="AD137" s="399">
        <v>0</v>
      </c>
      <c r="AE137" s="399">
        <v>0</v>
      </c>
      <c r="AF137" s="399">
        <v>195914.20684460679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6166.4187481307581</v>
      </c>
      <c r="AM137" s="399"/>
      <c r="AN137" s="399">
        <v>396.76772100629967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6304.3210696851665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202218.52791429195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258899.25759999998</v>
      </c>
      <c r="CJ137" s="399">
        <v>15417.84719999996</v>
      </c>
      <c r="CK137" s="399"/>
      <c r="CL137" s="399"/>
      <c r="CM137" s="399"/>
      <c r="CN137" s="399"/>
      <c r="CO137" s="399">
        <v>7008.1259999999938</v>
      </c>
      <c r="CP137" s="399">
        <v>8409.7511999999824</v>
      </c>
      <c r="CQ137" s="399">
        <v>31</v>
      </c>
      <c r="CR137" s="399">
        <v>15415.635093471792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0</v>
      </c>
      <c r="DA137" s="399">
        <v>0</v>
      </c>
      <c r="DB137" s="399">
        <v>0</v>
      </c>
      <c r="DC137" s="399">
        <v>8406.7536852718331</v>
      </c>
      <c r="DD137" s="399">
        <v>0</v>
      </c>
      <c r="DE137" s="399">
        <v>0</v>
      </c>
      <c r="DF137" s="399">
        <v>0</v>
      </c>
      <c r="DG137" s="399">
        <v>270.52083276302255</v>
      </c>
      <c r="DH137" s="399">
        <v>0</v>
      </c>
      <c r="DI137" s="399">
        <v>5793.0300187159592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898.03477757377641</v>
      </c>
      <c r="DP137" s="399">
        <v>47.295779147206588</v>
      </c>
      <c r="DQ137" s="399">
        <v>0</v>
      </c>
      <c r="DR137" s="399">
        <v>0</v>
      </c>
      <c r="DS137" s="399"/>
      <c r="DT137" s="399"/>
      <c r="DU137" s="399"/>
      <c r="DV137" s="399">
        <v>0</v>
      </c>
      <c r="DW137" s="399">
        <v>0</v>
      </c>
      <c r="DX137" s="399">
        <v>0</v>
      </c>
      <c r="DY137" s="399">
        <v>7008.1259999999966</v>
      </c>
      <c r="DZ137" s="399">
        <v>8409.7511999999697</v>
      </c>
      <c r="EA137" s="399">
        <v>0</v>
      </c>
      <c r="EB137" s="399">
        <v>0</v>
      </c>
      <c r="EC137" s="399">
        <v>0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232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138</v>
      </c>
      <c r="B138" s="399" t="s">
        <v>956</v>
      </c>
      <c r="C138" s="399" t="s">
        <v>2325</v>
      </c>
      <c r="D138" s="399" t="s">
        <v>533</v>
      </c>
      <c r="E138" s="399" t="s">
        <v>890</v>
      </c>
      <c r="F138" s="399" t="s">
        <v>1239</v>
      </c>
      <c r="G138" s="399" t="s">
        <v>1239</v>
      </c>
      <c r="H138" s="399" t="s">
        <v>1239</v>
      </c>
      <c r="I138" s="399" t="s">
        <v>1239</v>
      </c>
      <c r="J138" s="399" t="s">
        <v>2326</v>
      </c>
      <c r="K138" s="788">
        <v>44621</v>
      </c>
      <c r="L138" s="399">
        <v>3050</v>
      </c>
      <c r="M138" s="399">
        <v>3050</v>
      </c>
      <c r="N138" s="399">
        <v>0</v>
      </c>
      <c r="O138" s="399">
        <v>0</v>
      </c>
      <c r="P138" s="399">
        <v>0</v>
      </c>
      <c r="Q138" s="399">
        <v>0</v>
      </c>
      <c r="R138" s="399">
        <v>25.76</v>
      </c>
      <c r="S138" s="399"/>
      <c r="T138" s="399"/>
      <c r="U138" s="399">
        <v>78568</v>
      </c>
      <c r="V138" s="399"/>
      <c r="W138" s="399">
        <v>78568</v>
      </c>
      <c r="X138" s="399">
        <v>57096</v>
      </c>
      <c r="Y138" s="399">
        <v>0</v>
      </c>
      <c r="Z138" s="399">
        <v>0</v>
      </c>
      <c r="AA138" s="399">
        <v>0</v>
      </c>
      <c r="AB138" s="399">
        <v>0</v>
      </c>
      <c r="AC138" s="399">
        <v>0</v>
      </c>
      <c r="AD138" s="399">
        <v>37577.150830388644</v>
      </c>
      <c r="AE138" s="399">
        <v>40986.699214218235</v>
      </c>
      <c r="AF138" s="399"/>
      <c r="AG138" s="399"/>
      <c r="AH138" s="399"/>
      <c r="AI138" s="399">
        <v>0</v>
      </c>
      <c r="AJ138" s="399">
        <v>0</v>
      </c>
      <c r="AK138" s="399">
        <v>0</v>
      </c>
      <c r="AL138" s="399">
        <v>0</v>
      </c>
      <c r="AM138" s="399"/>
      <c r="AN138" s="399">
        <v>0</v>
      </c>
      <c r="AO138" s="399">
        <v>0</v>
      </c>
      <c r="AP138" s="399">
        <v>0</v>
      </c>
      <c r="AQ138" s="399">
        <v>0</v>
      </c>
      <c r="AR138" s="399">
        <v>0</v>
      </c>
      <c r="AS138" s="399"/>
      <c r="AT138" s="399"/>
      <c r="AU138" s="399">
        <v>0</v>
      </c>
      <c r="AV138" s="399">
        <v>0</v>
      </c>
      <c r="AW138" s="399">
        <v>0</v>
      </c>
      <c r="AX138" s="399"/>
      <c r="AY138" s="399"/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/>
      <c r="BG138" s="399">
        <v>0</v>
      </c>
      <c r="BH138" s="399">
        <v>0</v>
      </c>
      <c r="BI138" s="399">
        <v>0</v>
      </c>
      <c r="BJ138" s="399">
        <v>0</v>
      </c>
      <c r="BK138" s="399">
        <v>159863.46</v>
      </c>
      <c r="BL138" s="399">
        <v>3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0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57096</v>
      </c>
      <c r="CJ138" s="399">
        <v>-21472.029999999984</v>
      </c>
      <c r="CK138" s="399"/>
      <c r="CL138" s="399"/>
      <c r="CM138" s="399"/>
      <c r="CN138" s="399"/>
      <c r="CO138" s="399">
        <v>-21472.000000000007</v>
      </c>
      <c r="CP138" s="399">
        <v>0</v>
      </c>
      <c r="CQ138" s="399">
        <v>31</v>
      </c>
      <c r="CR138" s="399">
        <v>-289.59014697948442</v>
      </c>
      <c r="CS138" s="399">
        <v>0</v>
      </c>
      <c r="CT138" s="399">
        <v>0</v>
      </c>
      <c r="CU138" s="399">
        <v>0</v>
      </c>
      <c r="CV138" s="399">
        <v>0</v>
      </c>
      <c r="CW138" s="399"/>
      <c r="CX138" s="399"/>
      <c r="CY138" s="399"/>
      <c r="CZ138" s="399">
        <v>-289.59014697948442</v>
      </c>
      <c r="DA138" s="399">
        <v>0</v>
      </c>
      <c r="DB138" s="399">
        <v>0</v>
      </c>
      <c r="DC138" s="399"/>
      <c r="DD138" s="399"/>
      <c r="DE138" s="399">
        <v>0</v>
      </c>
      <c r="DF138" s="399">
        <v>0</v>
      </c>
      <c r="DG138" s="399">
        <v>0</v>
      </c>
      <c r="DH138" s="399">
        <v>0</v>
      </c>
      <c r="DI138" s="399">
        <v>0</v>
      </c>
      <c r="DJ138" s="399"/>
      <c r="DK138" s="399">
        <v>0</v>
      </c>
      <c r="DL138" s="399">
        <v>0</v>
      </c>
      <c r="DM138" s="399"/>
      <c r="DN138" s="399">
        <v>0</v>
      </c>
      <c r="DO138" s="399">
        <v>0</v>
      </c>
      <c r="DP138" s="399">
        <v>0</v>
      </c>
      <c r="DQ138" s="399">
        <v>0</v>
      </c>
      <c r="DR138" s="399">
        <v>0</v>
      </c>
      <c r="DS138" s="399"/>
      <c r="DT138" s="399"/>
      <c r="DU138" s="399">
        <v>40986.699214218235</v>
      </c>
      <c r="DV138" s="399"/>
      <c r="DW138" s="399">
        <v>0</v>
      </c>
      <c r="DX138" s="399">
        <v>0</v>
      </c>
      <c r="DY138" s="399">
        <v>-21472</v>
      </c>
      <c r="DZ138" s="399"/>
      <c r="EA138" s="399">
        <v>0</v>
      </c>
      <c r="EB138" s="399"/>
      <c r="EC138" s="399">
        <v>-21189.551021962558</v>
      </c>
      <c r="ED138" s="399"/>
      <c r="EE138" s="399">
        <v>0</v>
      </c>
      <c r="EF138" s="399">
        <v>0</v>
      </c>
      <c r="EG138" s="399"/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/>
      <c r="EN138" s="399"/>
      <c r="EO138" s="399">
        <v>0</v>
      </c>
      <c r="EP138" s="399">
        <v>0</v>
      </c>
      <c r="EQ138" s="399"/>
      <c r="ER138" s="399">
        <v>0</v>
      </c>
      <c r="ES138" s="399"/>
      <c r="ET138" s="399">
        <v>0</v>
      </c>
      <c r="EU138" s="399"/>
      <c r="EV138" s="399">
        <v>232</v>
      </c>
      <c r="EW138" s="399"/>
      <c r="EX138" s="399"/>
      <c r="EY138" s="399"/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139</v>
      </c>
      <c r="B139" s="399" t="s">
        <v>956</v>
      </c>
      <c r="C139" s="399" t="s">
        <v>2328</v>
      </c>
      <c r="D139" s="399" t="s">
        <v>1824</v>
      </c>
      <c r="E139" s="399" t="s">
        <v>918</v>
      </c>
      <c r="F139" s="399" t="s">
        <v>1239</v>
      </c>
      <c r="G139" s="399" t="s">
        <v>1239</v>
      </c>
      <c r="H139" s="399" t="s">
        <v>1239</v>
      </c>
      <c r="I139" s="399" t="s">
        <v>1239</v>
      </c>
      <c r="J139" s="399" t="s">
        <v>2326</v>
      </c>
      <c r="K139" s="788">
        <v>44621</v>
      </c>
      <c r="L139" s="399">
        <v>0</v>
      </c>
      <c r="M139" s="399">
        <v>0</v>
      </c>
      <c r="N139" s="399">
        <v>25.01</v>
      </c>
      <c r="O139" s="399">
        <v>25.01</v>
      </c>
      <c r="P139" s="399">
        <v>25.01</v>
      </c>
      <c r="Q139" s="399">
        <v>25.01</v>
      </c>
      <c r="R139" s="399"/>
      <c r="S139" s="399">
        <v>395.23</v>
      </c>
      <c r="T139" s="399">
        <v>297.72000000000003</v>
      </c>
      <c r="U139" s="399"/>
      <c r="V139" s="399">
        <v>17330.679500000002</v>
      </c>
      <c r="W139" s="399">
        <v>17330.679500000002</v>
      </c>
      <c r="X139" s="399">
        <v>15359.891500000002</v>
      </c>
      <c r="Y139" s="399">
        <v>0</v>
      </c>
      <c r="Z139" s="399">
        <v>1515.8965741968507</v>
      </c>
      <c r="AA139" s="399">
        <v>0</v>
      </c>
      <c r="AB139" s="399">
        <v>0</v>
      </c>
      <c r="AC139" s="399">
        <v>0</v>
      </c>
      <c r="AD139" s="399">
        <v>2485.93155444392</v>
      </c>
      <c r="AE139" s="399">
        <v>5005.621623137703</v>
      </c>
      <c r="AF139" s="399">
        <v>7446.0736629743124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234.3658940045442</v>
      </c>
      <c r="AM139" s="399"/>
      <c r="AN139" s="399">
        <v>22.26857727931273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620.59322654547657</v>
      </c>
      <c r="BH139" s="399">
        <v>0</v>
      </c>
      <c r="BI139" s="399">
        <v>0</v>
      </c>
      <c r="BJ139" s="399">
        <v>0</v>
      </c>
      <c r="BK139" s="399">
        <v>5883.32</v>
      </c>
      <c r="BL139" s="399">
        <v>47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8066.666889519789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15359.891500000002</v>
      </c>
      <c r="CJ139" s="399">
        <v>-1970.8179999999993</v>
      </c>
      <c r="CK139" s="399"/>
      <c r="CL139" s="399"/>
      <c r="CM139" s="399"/>
      <c r="CN139" s="399"/>
      <c r="CO139" s="399">
        <v>-2290.4158000000011</v>
      </c>
      <c r="CP139" s="399">
        <v>319.62779999999935</v>
      </c>
      <c r="CQ139" s="399">
        <v>31</v>
      </c>
      <c r="CR139" s="399">
        <v>616.84595419961624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-19.157952860284695</v>
      </c>
      <c r="DA139" s="399">
        <v>0</v>
      </c>
      <c r="DB139" s="399">
        <v>0</v>
      </c>
      <c r="DC139" s="399">
        <v>319.51387403295939</v>
      </c>
      <c r="DD139" s="399">
        <v>0</v>
      </c>
      <c r="DE139" s="399">
        <v>0</v>
      </c>
      <c r="DF139" s="399">
        <v>0</v>
      </c>
      <c r="DG139" s="399">
        <v>26.629893147329653</v>
      </c>
      <c r="DH139" s="399">
        <v>0</v>
      </c>
      <c r="DI139" s="399">
        <v>253.07423013813855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34.131435455474048</v>
      </c>
      <c r="DP139" s="399">
        <v>2.6544742859970825</v>
      </c>
      <c r="DQ139" s="399">
        <v>0</v>
      </c>
      <c r="DR139" s="399">
        <v>0</v>
      </c>
      <c r="DS139" s="399"/>
      <c r="DT139" s="399"/>
      <c r="DU139" s="399"/>
      <c r="DV139" s="399">
        <v>5005.621623137703</v>
      </c>
      <c r="DW139" s="399">
        <v>0</v>
      </c>
      <c r="DX139" s="399">
        <v>0</v>
      </c>
      <c r="DY139" s="399">
        <v>-2290.4158000000007</v>
      </c>
      <c r="DZ139" s="399">
        <v>319.6277999999993</v>
      </c>
      <c r="EA139" s="399">
        <v>0</v>
      </c>
      <c r="EB139" s="399">
        <v>0</v>
      </c>
      <c r="EC139" s="399">
        <v>-2587.8364643552763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232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140</v>
      </c>
      <c r="B140" s="399" t="s">
        <v>956</v>
      </c>
      <c r="C140" s="399" t="s">
        <v>2328</v>
      </c>
      <c r="D140" s="399" t="s">
        <v>2335</v>
      </c>
      <c r="E140" s="399" t="s">
        <v>894</v>
      </c>
      <c r="F140" s="399" t="s">
        <v>1239</v>
      </c>
      <c r="G140" s="399" t="s">
        <v>1239</v>
      </c>
      <c r="H140" s="399" t="s">
        <v>1239</v>
      </c>
      <c r="I140" s="399" t="s">
        <v>1239</v>
      </c>
      <c r="J140" s="399" t="s">
        <v>2326</v>
      </c>
      <c r="K140" s="788">
        <v>44621</v>
      </c>
      <c r="L140" s="399">
        <v>0</v>
      </c>
      <c r="M140" s="399">
        <v>0</v>
      </c>
      <c r="N140" s="399">
        <v>441.31900000000002</v>
      </c>
      <c r="O140" s="399">
        <v>441.31900000000002</v>
      </c>
      <c r="P140" s="399">
        <v>441.31900000000002</v>
      </c>
      <c r="Q140" s="399">
        <v>441.31900000000002</v>
      </c>
      <c r="R140" s="399"/>
      <c r="S140" s="399">
        <v>395.23</v>
      </c>
      <c r="T140" s="399">
        <v>297.72000000000003</v>
      </c>
      <c r="U140" s="399"/>
      <c r="V140" s="399">
        <v>305812.00105000008</v>
      </c>
      <c r="W140" s="399">
        <v>305812.00105000008</v>
      </c>
      <c r="X140" s="399">
        <v>271036.06384999998</v>
      </c>
      <c r="Y140" s="399">
        <v>0</v>
      </c>
      <c r="Z140" s="399">
        <v>26749.058785604953</v>
      </c>
      <c r="AA140" s="399">
        <v>0</v>
      </c>
      <c r="AB140" s="399">
        <v>0</v>
      </c>
      <c r="AC140" s="399">
        <v>0</v>
      </c>
      <c r="AD140" s="399">
        <v>43866.006704343716</v>
      </c>
      <c r="AE140" s="399">
        <v>88327.706081627664</v>
      </c>
      <c r="AF140" s="399">
        <v>131391.19483687167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4135.5506587841437</v>
      </c>
      <c r="AM140" s="399"/>
      <c r="AN140" s="399">
        <v>392.94467238420691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10950.802964647068</v>
      </c>
      <c r="BH140" s="399">
        <v>0</v>
      </c>
      <c r="BI140" s="399">
        <v>0.98</v>
      </c>
      <c r="BJ140" s="399">
        <v>4.63</v>
      </c>
      <c r="BK140" s="399">
        <v>76872.69</v>
      </c>
      <c r="BL140" s="399">
        <v>950</v>
      </c>
      <c r="BM140" s="399"/>
      <c r="BN140" s="399"/>
      <c r="BO140" s="399"/>
      <c r="BP140" s="399"/>
      <c r="BQ140" s="399"/>
      <c r="BR140" s="399">
        <v>32525.210299999995</v>
      </c>
      <c r="BS140" s="399"/>
      <c r="BT140" s="399"/>
      <c r="BU140" s="399"/>
      <c r="BV140" s="399">
        <v>142341.99780151874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238511.394</v>
      </c>
      <c r="CJ140" s="399">
        <v>-30604.962200000038</v>
      </c>
      <c r="CK140" s="399"/>
      <c r="CL140" s="399"/>
      <c r="CM140" s="399"/>
      <c r="CN140" s="399"/>
      <c r="CO140" s="399">
        <v>-40415.99402000002</v>
      </c>
      <c r="CP140" s="399">
        <v>5640.056819999988</v>
      </c>
      <c r="CQ140" s="399">
        <v>31</v>
      </c>
      <c r="CR140" s="399">
        <v>10884.679714570957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-338.05552172523312</v>
      </c>
      <c r="DA140" s="399">
        <v>0</v>
      </c>
      <c r="DB140" s="399">
        <v>0</v>
      </c>
      <c r="DC140" s="399">
        <v>5638.0465163675253</v>
      </c>
      <c r="DD140" s="399">
        <v>0</v>
      </c>
      <c r="DE140" s="399">
        <v>0</v>
      </c>
      <c r="DF140" s="399">
        <v>0</v>
      </c>
      <c r="DG140" s="399">
        <v>469.90315129493683</v>
      </c>
      <c r="DH140" s="399">
        <v>0</v>
      </c>
      <c r="DI140" s="399">
        <v>4465.6723778621817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602.27312929925483</v>
      </c>
      <c r="DP140" s="399">
        <v>46.840061472288937</v>
      </c>
      <c r="DQ140" s="399">
        <v>0</v>
      </c>
      <c r="DR140" s="399">
        <v>0</v>
      </c>
      <c r="DS140" s="399"/>
      <c r="DT140" s="399"/>
      <c r="DU140" s="399"/>
      <c r="DV140" s="399">
        <v>88327.706081627664</v>
      </c>
      <c r="DW140" s="399">
        <v>0</v>
      </c>
      <c r="DX140" s="399">
        <v>0</v>
      </c>
      <c r="DY140" s="399">
        <v>-40415.994020000042</v>
      </c>
      <c r="DZ140" s="399">
        <v>5640.0568199999689</v>
      </c>
      <c r="EA140" s="399">
        <v>0</v>
      </c>
      <c r="EB140" s="399">
        <v>0</v>
      </c>
      <c r="EC140" s="399">
        <v>-45664.190348372897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232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141</v>
      </c>
      <c r="B141" s="399" t="s">
        <v>2330</v>
      </c>
      <c r="C141" s="399" t="s">
        <v>2328</v>
      </c>
      <c r="D141" s="399" t="s">
        <v>2335</v>
      </c>
      <c r="E141" s="399" t="s">
        <v>894</v>
      </c>
      <c r="F141" s="399" t="s">
        <v>1239</v>
      </c>
      <c r="G141" s="399" t="s">
        <v>1239</v>
      </c>
      <c r="H141" s="399" t="s">
        <v>1239</v>
      </c>
      <c r="I141" s="399" t="s">
        <v>1239</v>
      </c>
      <c r="J141" s="399" t="s">
        <v>2326</v>
      </c>
      <c r="K141" s="788">
        <v>44621</v>
      </c>
      <c r="L141" s="399">
        <v>0</v>
      </c>
      <c r="M141" s="399">
        <v>0</v>
      </c>
      <c r="N141" s="399">
        <v>39.655999999999999</v>
      </c>
      <c r="O141" s="399">
        <v>39.655999999999999</v>
      </c>
      <c r="P141" s="399">
        <v>39.655999999999999</v>
      </c>
      <c r="Q141" s="399">
        <v>39.655999999999999</v>
      </c>
      <c r="R141" s="399"/>
      <c r="S141" s="399">
        <v>395.23</v>
      </c>
      <c r="T141" s="399">
        <v>297.72000000000003</v>
      </c>
      <c r="U141" s="399"/>
      <c r="V141" s="399">
        <v>27479.625200000002</v>
      </c>
      <c r="W141" s="399">
        <v>27479.625200000002</v>
      </c>
      <c r="X141" s="399">
        <v>24354.732400000001</v>
      </c>
      <c r="Y141" s="399">
        <v>0</v>
      </c>
      <c r="Z141" s="399">
        <v>2403.6143361195641</v>
      </c>
      <c r="AA141" s="399">
        <v>0</v>
      </c>
      <c r="AB141" s="399">
        <v>0</v>
      </c>
      <c r="AC141" s="399">
        <v>0</v>
      </c>
      <c r="AD141" s="399">
        <v>3941.7073859667366</v>
      </c>
      <c r="AE141" s="399">
        <v>7936.9424664993494</v>
      </c>
      <c r="AF141" s="399">
        <v>11806.537272247473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371.61191094139161</v>
      </c>
      <c r="AM141" s="399"/>
      <c r="AN141" s="399">
        <v>35.3091843497971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984.01619319821737</v>
      </c>
      <c r="BH141" s="399">
        <v>0</v>
      </c>
      <c r="BI141" s="399">
        <v>0</v>
      </c>
      <c r="BJ141" s="399">
        <v>0</v>
      </c>
      <c r="BK141" s="399">
        <v>15872.61</v>
      </c>
      <c r="BL141" s="399">
        <v>23</v>
      </c>
      <c r="BM141" s="399"/>
      <c r="BN141" s="399"/>
      <c r="BO141" s="399"/>
      <c r="BP141" s="399"/>
      <c r="BQ141" s="399"/>
      <c r="BR141" s="399">
        <v>2922.6471999999994</v>
      </c>
      <c r="BS141" s="399"/>
      <c r="BT141" s="399"/>
      <c r="BU141" s="399"/>
      <c r="BV141" s="399">
        <v>12790.55346544569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21434.246999999996</v>
      </c>
      <c r="CJ141" s="399">
        <v>-2748.0118000000039</v>
      </c>
      <c r="CK141" s="399"/>
      <c r="CL141" s="399"/>
      <c r="CM141" s="399"/>
      <c r="CN141" s="399"/>
      <c r="CO141" s="399">
        <v>-3631.6964800000014</v>
      </c>
      <c r="CP141" s="399">
        <v>506.80367999999891</v>
      </c>
      <c r="CQ141" s="399">
        <v>31</v>
      </c>
      <c r="CR141" s="399">
        <v>978.07449659095437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-30.37696036095349</v>
      </c>
      <c r="DA141" s="399">
        <v>0</v>
      </c>
      <c r="DB141" s="399">
        <v>0</v>
      </c>
      <c r="DC141" s="399">
        <v>506.62303833070837</v>
      </c>
      <c r="DD141" s="399">
        <v>0</v>
      </c>
      <c r="DE141" s="399">
        <v>0</v>
      </c>
      <c r="DF141" s="399">
        <v>0</v>
      </c>
      <c r="DG141" s="399">
        <v>42.224511901259689</v>
      </c>
      <c r="DH141" s="399">
        <v>0</v>
      </c>
      <c r="DI141" s="399">
        <v>401.27595643174845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54.11900057666054</v>
      </c>
      <c r="DP141" s="399">
        <v>4.2089497115354035</v>
      </c>
      <c r="DQ141" s="399">
        <v>0</v>
      </c>
      <c r="DR141" s="399">
        <v>0</v>
      </c>
      <c r="DS141" s="399"/>
      <c r="DT141" s="399"/>
      <c r="DU141" s="399"/>
      <c r="DV141" s="399">
        <v>7936.9424664993494</v>
      </c>
      <c r="DW141" s="399">
        <v>0</v>
      </c>
      <c r="DX141" s="399">
        <v>0</v>
      </c>
      <c r="DY141" s="399">
        <v>-3631.6964800000005</v>
      </c>
      <c r="DZ141" s="399">
        <v>506.80367999999908</v>
      </c>
      <c r="EA141" s="399">
        <v>0</v>
      </c>
      <c r="EB141" s="399">
        <v>0</v>
      </c>
      <c r="EC141" s="399">
        <v>-4103.2883978597692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232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142</v>
      </c>
      <c r="B142" s="399" t="s">
        <v>956</v>
      </c>
      <c r="C142" s="399" t="s">
        <v>2328</v>
      </c>
      <c r="D142" s="399" t="s">
        <v>1824</v>
      </c>
      <c r="E142" s="399" t="s">
        <v>2336</v>
      </c>
      <c r="F142" s="399" t="s">
        <v>1239</v>
      </c>
      <c r="G142" s="399" t="s">
        <v>1239</v>
      </c>
      <c r="H142" s="399" t="s">
        <v>1239</v>
      </c>
      <c r="I142" s="399" t="s">
        <v>1239</v>
      </c>
      <c r="J142" s="399" t="s">
        <v>2326</v>
      </c>
      <c r="K142" s="788">
        <v>44621</v>
      </c>
      <c r="L142" s="399">
        <v>0</v>
      </c>
      <c r="M142" s="399">
        <v>0</v>
      </c>
      <c r="N142" s="399">
        <v>0.90500000000000003</v>
      </c>
      <c r="O142" s="399">
        <v>0.90500000000000003</v>
      </c>
      <c r="P142" s="399">
        <v>0.90500000000000003</v>
      </c>
      <c r="Q142" s="399">
        <v>0.90500000000000003</v>
      </c>
      <c r="R142" s="399"/>
      <c r="S142" s="399">
        <v>395.23</v>
      </c>
      <c r="T142" s="399">
        <v>297.72000000000003</v>
      </c>
      <c r="U142" s="399"/>
      <c r="V142" s="399">
        <v>627.11975000000007</v>
      </c>
      <c r="W142" s="399">
        <v>627.11975000000007</v>
      </c>
      <c r="X142" s="399">
        <v>555.80574999999999</v>
      </c>
      <c r="Y142" s="399">
        <v>0</v>
      </c>
      <c r="Z142" s="399">
        <v>54.85351458009395</v>
      </c>
      <c r="AA142" s="399">
        <v>0</v>
      </c>
      <c r="AB142" s="399">
        <v>0</v>
      </c>
      <c r="AC142" s="399">
        <v>0</v>
      </c>
      <c r="AD142" s="399">
        <v>89.954740374720004</v>
      </c>
      <c r="AE142" s="399">
        <v>181.13105033744986</v>
      </c>
      <c r="AF142" s="399">
        <v>269.4400905634447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8.48065310172381</v>
      </c>
      <c r="AM142" s="399"/>
      <c r="AN142" s="399">
        <v>0.80580017744014476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22.456492204064627</v>
      </c>
      <c r="BH142" s="399">
        <v>0</v>
      </c>
      <c r="BI142" s="399">
        <v>0</v>
      </c>
      <c r="BJ142" s="399">
        <v>0</v>
      </c>
      <c r="BK142" s="399">
        <v>222.31</v>
      </c>
      <c r="BL142" s="399">
        <v>17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291.8965827675093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558.87650000000008</v>
      </c>
      <c r="CJ142" s="399">
        <v>-68.273249999999962</v>
      </c>
      <c r="CK142" s="399"/>
      <c r="CL142" s="399"/>
      <c r="CM142" s="399"/>
      <c r="CN142" s="399"/>
      <c r="CO142" s="399">
        <v>-82.879900000000035</v>
      </c>
      <c r="CP142" s="399">
        <v>11.565899999999976</v>
      </c>
      <c r="CQ142" s="399">
        <v>31</v>
      </c>
      <c r="CR142" s="399">
        <v>22.32089518395253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-0.6932405973033724</v>
      </c>
      <c r="DA142" s="399">
        <v>0</v>
      </c>
      <c r="DB142" s="399">
        <v>0</v>
      </c>
      <c r="DC142" s="399">
        <v>11.561777528981565</v>
      </c>
      <c r="DD142" s="399">
        <v>0</v>
      </c>
      <c r="DE142" s="399">
        <v>0</v>
      </c>
      <c r="DF142" s="399">
        <v>0</v>
      </c>
      <c r="DG142" s="399">
        <v>0.96361668525922894</v>
      </c>
      <c r="DH142" s="399">
        <v>0</v>
      </c>
      <c r="DI142" s="399">
        <v>9.1576240813680769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1.2350639379129973</v>
      </c>
      <c r="DP142" s="399">
        <v>9.6053547734000766E-2</v>
      </c>
      <c r="DQ142" s="399">
        <v>0</v>
      </c>
      <c r="DR142" s="399">
        <v>0</v>
      </c>
      <c r="DS142" s="399"/>
      <c r="DT142" s="399"/>
      <c r="DU142" s="399"/>
      <c r="DV142" s="399">
        <v>181.13105033744986</v>
      </c>
      <c r="DW142" s="399">
        <v>0</v>
      </c>
      <c r="DX142" s="399">
        <v>0</v>
      </c>
      <c r="DY142" s="399">
        <v>-82.879900000000021</v>
      </c>
      <c r="DZ142" s="399">
        <v>11.565899999999942</v>
      </c>
      <c r="EA142" s="399">
        <v>0</v>
      </c>
      <c r="EB142" s="399">
        <v>0</v>
      </c>
      <c r="EC142" s="399">
        <v>-93.642223120412837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232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143</v>
      </c>
      <c r="B143" s="399" t="s">
        <v>956</v>
      </c>
      <c r="C143" s="399" t="s">
        <v>2328</v>
      </c>
      <c r="D143" s="399" t="s">
        <v>2337</v>
      </c>
      <c r="E143" s="399" t="s">
        <v>2338</v>
      </c>
      <c r="F143" s="399" t="s">
        <v>2339</v>
      </c>
      <c r="G143" s="399" t="s">
        <v>1239</v>
      </c>
      <c r="H143" s="399" t="s">
        <v>1239</v>
      </c>
      <c r="I143" s="399" t="s">
        <v>1239</v>
      </c>
      <c r="J143" s="399" t="s">
        <v>2326</v>
      </c>
      <c r="K143" s="788">
        <v>44621</v>
      </c>
      <c r="L143" s="399">
        <v>0</v>
      </c>
      <c r="M143" s="399">
        <v>0</v>
      </c>
      <c r="N143" s="399">
        <v>21.184000000000001</v>
      </c>
      <c r="O143" s="399">
        <v>21.184000000000001</v>
      </c>
      <c r="P143" s="399">
        <v>21.184000000000001</v>
      </c>
      <c r="Q143" s="399">
        <v>21.184000000000001</v>
      </c>
      <c r="R143" s="399"/>
      <c r="S143" s="399">
        <v>217.38</v>
      </c>
      <c r="T143" s="399">
        <v>163.75</v>
      </c>
      <c r="U143" s="399"/>
      <c r="V143" s="399">
        <v>8073.8579200000004</v>
      </c>
      <c r="W143" s="399">
        <v>8073.8579200000004</v>
      </c>
      <c r="X143" s="399">
        <v>7155.5315200000005</v>
      </c>
      <c r="Y143" s="399">
        <v>0</v>
      </c>
      <c r="Z143" s="399">
        <v>706.19808737634344</v>
      </c>
      <c r="AA143" s="399">
        <v>0</v>
      </c>
      <c r="AB143" s="399">
        <v>0</v>
      </c>
      <c r="AC143" s="399">
        <v>0</v>
      </c>
      <c r="AD143" s="399">
        <v>1158.1001890098757</v>
      </c>
      <c r="AE143" s="399">
        <v>2331.9271753499429</v>
      </c>
      <c r="AF143" s="399">
        <v>3468.8402024008897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109.18208333569545</v>
      </c>
      <c r="AM143" s="399"/>
      <c r="AN143" s="399">
        <v>10.374076273359785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289.11058780994239</v>
      </c>
      <c r="BH143" s="399">
        <v>0</v>
      </c>
      <c r="BI143" s="399">
        <v>0</v>
      </c>
      <c r="BJ143" s="399">
        <v>0</v>
      </c>
      <c r="BK143" s="399">
        <v>3387.88</v>
      </c>
      <c r="BL143" s="399">
        <v>1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3757.9507902108321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7154.1804000000002</v>
      </c>
      <c r="CJ143" s="399">
        <v>-919.70752000000084</v>
      </c>
      <c r="CK143" s="399"/>
      <c r="CL143" s="399"/>
      <c r="CM143" s="399"/>
      <c r="CN143" s="399"/>
      <c r="CO143" s="399">
        <v>-1067.03808</v>
      </c>
      <c r="CP143" s="399">
        <v>148.71168000000023</v>
      </c>
      <c r="CQ143" s="399">
        <v>31</v>
      </c>
      <c r="CR143" s="399">
        <v>287.36487731190209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-8.9249556323763954</v>
      </c>
      <c r="DA143" s="399">
        <v>0</v>
      </c>
      <c r="DB143" s="399">
        <v>0</v>
      </c>
      <c r="DC143" s="399">
        <v>148.84926226041398</v>
      </c>
      <c r="DD143" s="399">
        <v>0</v>
      </c>
      <c r="DE143" s="399">
        <v>0</v>
      </c>
      <c r="DF143" s="399">
        <v>0</v>
      </c>
      <c r="DG143" s="399">
        <v>12.40584610308548</v>
      </c>
      <c r="DH143" s="399">
        <v>0</v>
      </c>
      <c r="DI143" s="399">
        <v>117.89757977550823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15.900527020345152</v>
      </c>
      <c r="DP143" s="399">
        <v>1.2366177849264073</v>
      </c>
      <c r="DQ143" s="399">
        <v>0</v>
      </c>
      <c r="DR143" s="399">
        <v>0</v>
      </c>
      <c r="DS143" s="399"/>
      <c r="DT143" s="399"/>
      <c r="DU143" s="399"/>
      <c r="DV143" s="399">
        <v>2331.9271753499429</v>
      </c>
      <c r="DW143" s="399">
        <v>0</v>
      </c>
      <c r="DX143" s="399">
        <v>0</v>
      </c>
      <c r="DY143" s="399">
        <v>-1067.0380800000003</v>
      </c>
      <c r="DZ143" s="399">
        <v>148.71168000000034</v>
      </c>
      <c r="EA143" s="399">
        <v>0</v>
      </c>
      <c r="EB143" s="399">
        <v>0</v>
      </c>
      <c r="EC143" s="399">
        <v>-1205.5737790282387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232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144</v>
      </c>
      <c r="B144" s="399" t="s">
        <v>956</v>
      </c>
      <c r="C144" s="399" t="s">
        <v>2328</v>
      </c>
      <c r="D144" s="399" t="s">
        <v>1824</v>
      </c>
      <c r="E144" s="399" t="s">
        <v>921</v>
      </c>
      <c r="F144" s="399" t="s">
        <v>2327</v>
      </c>
      <c r="G144" s="399" t="s">
        <v>1239</v>
      </c>
      <c r="H144" s="399" t="s">
        <v>1239</v>
      </c>
      <c r="I144" s="399" t="s">
        <v>1239</v>
      </c>
      <c r="J144" s="399" t="s">
        <v>2326</v>
      </c>
      <c r="K144" s="788">
        <v>44621</v>
      </c>
      <c r="L144" s="399">
        <v>0</v>
      </c>
      <c r="M144" s="399">
        <v>0</v>
      </c>
      <c r="N144" s="399">
        <v>0.63300000000000001</v>
      </c>
      <c r="O144" s="399">
        <v>0.59501999999999999</v>
      </c>
      <c r="P144" s="399">
        <v>0.63300000000000001</v>
      </c>
      <c r="Q144" s="399">
        <v>0.59501999999999999</v>
      </c>
      <c r="R144" s="399"/>
      <c r="S144" s="399">
        <v>395.23</v>
      </c>
      <c r="T144" s="399">
        <v>297.72000000000003</v>
      </c>
      <c r="U144" s="399"/>
      <c r="V144" s="399">
        <v>438.63735000000008</v>
      </c>
      <c r="W144" s="399">
        <v>438.63735000000008</v>
      </c>
      <c r="X144" s="399">
        <v>388.75694999999996</v>
      </c>
      <c r="Y144" s="399">
        <v>0</v>
      </c>
      <c r="Z144" s="399">
        <v>38.367154396905491</v>
      </c>
      <c r="AA144" s="399">
        <v>0</v>
      </c>
      <c r="AB144" s="399">
        <v>0</v>
      </c>
      <c r="AC144" s="399">
        <v>0</v>
      </c>
      <c r="AD144" s="399">
        <v>62.918619510715764</v>
      </c>
      <c r="AE144" s="399">
        <v>126.69166283271353</v>
      </c>
      <c r="AF144" s="399">
        <v>188.4592014659232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5.9317717275040573</v>
      </c>
      <c r="AM144" s="399"/>
      <c r="AN144" s="399">
        <v>0.56361493073990232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15.707137641075036</v>
      </c>
      <c r="BH144" s="399">
        <v>0</v>
      </c>
      <c r="BI144" s="399">
        <v>0</v>
      </c>
      <c r="BJ144" s="399">
        <v>0</v>
      </c>
      <c r="BK144" s="399">
        <v>155.52000000000001</v>
      </c>
      <c r="BL144" s="399">
        <v>2</v>
      </c>
      <c r="BM144" s="399"/>
      <c r="BN144" s="399"/>
      <c r="BO144" s="399"/>
      <c r="BP144" s="399"/>
      <c r="BQ144" s="399">
        <v>23.325417000000009</v>
      </c>
      <c r="BR144" s="399"/>
      <c r="BS144" s="399"/>
      <c r="BT144" s="399"/>
      <c r="BU144" s="399"/>
      <c r="BV144" s="399">
        <v>204.16633910699824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368.48999999999995</v>
      </c>
      <c r="CJ144" s="399">
        <v>-43.859109000000046</v>
      </c>
      <c r="CK144" s="399"/>
      <c r="CL144" s="399"/>
      <c r="CM144" s="399"/>
      <c r="CN144" s="399"/>
      <c r="CO144" s="399">
        <v>-57.970140000000029</v>
      </c>
      <c r="CP144" s="399">
        <v>8.0897399999999831</v>
      </c>
      <c r="CQ144" s="399">
        <v>31</v>
      </c>
      <c r="CR144" s="399">
        <v>15.612294642477252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-0.48488541225750481</v>
      </c>
      <c r="DA144" s="399">
        <v>0</v>
      </c>
      <c r="DB144" s="399">
        <v>0</v>
      </c>
      <c r="DC144" s="399">
        <v>8.086856547895394</v>
      </c>
      <c r="DD144" s="399">
        <v>0</v>
      </c>
      <c r="DE144" s="399">
        <v>0</v>
      </c>
      <c r="DF144" s="399">
        <v>0</v>
      </c>
      <c r="DG144" s="399">
        <v>0.67399929477247866</v>
      </c>
      <c r="DH144" s="399">
        <v>0</v>
      </c>
      <c r="DI144" s="399">
        <v>6.405277396139212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0.86386240077229459</v>
      </c>
      <c r="DP144" s="399">
        <v>6.7184415155383981E-2</v>
      </c>
      <c r="DQ144" s="399">
        <v>0</v>
      </c>
      <c r="DR144" s="399">
        <v>0</v>
      </c>
      <c r="DS144" s="399"/>
      <c r="DT144" s="399"/>
      <c r="DU144" s="399"/>
      <c r="DV144" s="399">
        <v>126.69166283271353</v>
      </c>
      <c r="DW144" s="399">
        <v>0</v>
      </c>
      <c r="DX144" s="399">
        <v>0</v>
      </c>
      <c r="DY144" s="399">
        <v>-57.970140000000043</v>
      </c>
      <c r="DZ144" s="399">
        <v>8.0897399999999777</v>
      </c>
      <c r="EA144" s="399">
        <v>0</v>
      </c>
      <c r="EB144" s="399">
        <v>0</v>
      </c>
      <c r="EC144" s="399">
        <v>-65.497820149415816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232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145</v>
      </c>
      <c r="B145" s="399" t="s">
        <v>956</v>
      </c>
      <c r="C145" s="399" t="s">
        <v>2328</v>
      </c>
      <c r="D145" s="399" t="s">
        <v>2335</v>
      </c>
      <c r="E145" s="399" t="s">
        <v>894</v>
      </c>
      <c r="F145" s="399" t="s">
        <v>2367</v>
      </c>
      <c r="G145" s="399" t="s">
        <v>2368</v>
      </c>
      <c r="H145" s="399" t="s">
        <v>1239</v>
      </c>
      <c r="I145" s="399" t="s">
        <v>1239</v>
      </c>
      <c r="J145" s="399" t="s">
        <v>2326</v>
      </c>
      <c r="K145" s="788">
        <v>44621</v>
      </c>
      <c r="L145" s="399">
        <v>0</v>
      </c>
      <c r="M145" s="399">
        <v>0</v>
      </c>
      <c r="N145" s="399">
        <v>0</v>
      </c>
      <c r="O145" s="399">
        <v>0</v>
      </c>
      <c r="P145" s="399">
        <v>0</v>
      </c>
      <c r="Q145" s="399">
        <v>0</v>
      </c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>
        <v>0</v>
      </c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399"/>
      <c r="AL145" s="399"/>
      <c r="AM145" s="399"/>
      <c r="AN145" s="399"/>
      <c r="AO145" s="399"/>
      <c r="AP145" s="399"/>
      <c r="AQ145" s="399"/>
      <c r="AR145" s="399"/>
      <c r="AS145" s="399"/>
      <c r="AT145" s="399"/>
      <c r="AU145" s="399"/>
      <c r="AV145" s="399"/>
      <c r="AW145" s="399"/>
      <c r="AX145" s="399"/>
      <c r="AY145" s="399"/>
      <c r="AZ145" s="399">
        <v>0</v>
      </c>
      <c r="BA145" s="399"/>
      <c r="BB145" s="399"/>
      <c r="BC145" s="399"/>
      <c r="BD145" s="399"/>
      <c r="BE145" s="399"/>
      <c r="BF145" s="399"/>
      <c r="BG145" s="399"/>
      <c r="BH145" s="399"/>
      <c r="BI145" s="399">
        <v>0</v>
      </c>
      <c r="BJ145" s="399">
        <v>0</v>
      </c>
      <c r="BK145" s="399">
        <v>10.050000000000001</v>
      </c>
      <c r="BL145" s="399">
        <v>1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/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/>
      <c r="CJ145" s="399">
        <v>-0.03</v>
      </c>
      <c r="CK145" s="399"/>
      <c r="CL145" s="399"/>
      <c r="CM145" s="399"/>
      <c r="CN145" s="399"/>
      <c r="CO145" s="399">
        <v>0</v>
      </c>
      <c r="CP145" s="399">
        <v>0</v>
      </c>
      <c r="CQ145" s="399">
        <v>31</v>
      </c>
      <c r="CR145" s="399"/>
      <c r="CS145" s="399"/>
      <c r="CT145" s="399"/>
      <c r="CU145" s="399"/>
      <c r="CV145" s="399"/>
      <c r="CW145" s="399"/>
      <c r="CX145" s="399"/>
      <c r="CY145" s="399"/>
      <c r="CZ145" s="399"/>
      <c r="DA145" s="399"/>
      <c r="DB145" s="399"/>
      <c r="DC145" s="399"/>
      <c r="DD145" s="399"/>
      <c r="DE145" s="399"/>
      <c r="DF145" s="399"/>
      <c r="DG145" s="399"/>
      <c r="DH145" s="399"/>
      <c r="DI145" s="399"/>
      <c r="DJ145" s="399"/>
      <c r="DK145" s="399">
        <v>0</v>
      </c>
      <c r="DL145" s="399"/>
      <c r="DM145" s="399"/>
      <c r="DN145" s="399"/>
      <c r="DO145" s="399"/>
      <c r="DP145" s="399"/>
      <c r="DQ145" s="399"/>
      <c r="DR145" s="399"/>
      <c r="DS145" s="399"/>
      <c r="DT145" s="399"/>
      <c r="DU145" s="399"/>
      <c r="DV145" s="399"/>
      <c r="DW145" s="399"/>
      <c r="DX145" s="399"/>
      <c r="DY145" s="399"/>
      <c r="DZ145" s="399"/>
      <c r="EA145" s="399"/>
      <c r="EB145" s="399"/>
      <c r="EC145" s="399"/>
      <c r="ED145" s="399"/>
      <c r="EE145" s="399"/>
      <c r="EF145" s="399"/>
      <c r="EG145" s="399"/>
      <c r="EH145" s="399"/>
      <c r="EI145" s="399"/>
      <c r="EJ145" s="399"/>
      <c r="EK145" s="399"/>
      <c r="EL145" s="399"/>
      <c r="EM145" s="399"/>
      <c r="EN145" s="399"/>
      <c r="EO145" s="399"/>
      <c r="EP145" s="399"/>
      <c r="EQ145" s="399"/>
      <c r="ER145" s="399"/>
      <c r="ES145" s="399"/>
      <c r="ET145" s="399"/>
      <c r="EU145" s="399"/>
      <c r="EV145" s="399">
        <v>232</v>
      </c>
      <c r="EW145" s="399"/>
      <c r="EX145" s="399"/>
      <c r="EY145" s="399"/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146</v>
      </c>
      <c r="B146" s="399" t="s">
        <v>956</v>
      </c>
      <c r="C146" s="399" t="s">
        <v>2328</v>
      </c>
      <c r="D146" s="399" t="s">
        <v>2335</v>
      </c>
      <c r="E146" s="399" t="s">
        <v>894</v>
      </c>
      <c r="F146" s="399" t="s">
        <v>2367</v>
      </c>
      <c r="G146" s="399" t="s">
        <v>2368</v>
      </c>
      <c r="H146" s="399" t="s">
        <v>1239</v>
      </c>
      <c r="I146" s="399" t="s">
        <v>1239</v>
      </c>
      <c r="J146" s="399" t="s">
        <v>2326</v>
      </c>
      <c r="K146" s="788">
        <v>44621</v>
      </c>
      <c r="L146" s="399">
        <v>0</v>
      </c>
      <c r="M146" s="399">
        <v>0</v>
      </c>
      <c r="N146" s="399">
        <v>9.7000000000000003E-2</v>
      </c>
      <c r="O146" s="399">
        <v>9.7000000000000003E-2</v>
      </c>
      <c r="P146" s="399">
        <v>9.7000000000000003E-2</v>
      </c>
      <c r="Q146" s="399">
        <v>9.7000000000000003E-2</v>
      </c>
      <c r="R146" s="399"/>
      <c r="S146" s="399">
        <v>395.23</v>
      </c>
      <c r="T146" s="399">
        <v>297.72000000000003</v>
      </c>
      <c r="U146" s="399"/>
      <c r="V146" s="399">
        <v>67.216149999999999</v>
      </c>
      <c r="W146" s="399">
        <v>67.216149999999999</v>
      </c>
      <c r="X146" s="399">
        <v>59.57255</v>
      </c>
      <c r="Y146" s="399">
        <v>0</v>
      </c>
      <c r="Z146" s="399">
        <v>5.8793269770929433</v>
      </c>
      <c r="AA146" s="399">
        <v>0</v>
      </c>
      <c r="AB146" s="399">
        <v>0</v>
      </c>
      <c r="AC146" s="399">
        <v>0</v>
      </c>
      <c r="AD146" s="399">
        <v>9.6415578081191615</v>
      </c>
      <c r="AE146" s="399">
        <v>19.414046279262582</v>
      </c>
      <c r="AF146" s="399">
        <v>28.879214126689654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0.908976078306309</v>
      </c>
      <c r="AM146" s="399"/>
      <c r="AN146" s="399">
        <v>8.6367532830601154E-2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2.4069389434190813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>
        <v>8.3274499999999971</v>
      </c>
      <c r="BS146" s="399"/>
      <c r="BT146" s="399"/>
      <c r="BU146" s="399"/>
      <c r="BV146" s="399">
        <v>31.286153070108735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52.83</v>
      </c>
      <c r="CJ146" s="399">
        <v>-4.8170300000000026</v>
      </c>
      <c r="CK146" s="399"/>
      <c r="CL146" s="399"/>
      <c r="CM146" s="399"/>
      <c r="CN146" s="399"/>
      <c r="CO146" s="399">
        <v>-8.8832600000000035</v>
      </c>
      <c r="CP146" s="399">
        <v>1.2396599999999973</v>
      </c>
      <c r="CQ146" s="399">
        <v>31</v>
      </c>
      <c r="CR146" s="399">
        <v>2.3924053401584544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-7.4303135843566182E-2</v>
      </c>
      <c r="DA146" s="399">
        <v>0</v>
      </c>
      <c r="DB146" s="399">
        <v>0</v>
      </c>
      <c r="DC146" s="399">
        <v>1.2392181439902892</v>
      </c>
      <c r="DD146" s="399">
        <v>0</v>
      </c>
      <c r="DE146" s="399">
        <v>0</v>
      </c>
      <c r="DF146" s="399">
        <v>0</v>
      </c>
      <c r="DG146" s="399">
        <v>0.10328267234270205</v>
      </c>
      <c r="DH146" s="399">
        <v>0</v>
      </c>
      <c r="DI146" s="399">
        <v>0.98153539877646701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0.13237701875973551</v>
      </c>
      <c r="DP146" s="399">
        <v>1.0295242132815546E-2</v>
      </c>
      <c r="DQ146" s="399">
        <v>0</v>
      </c>
      <c r="DR146" s="399">
        <v>0</v>
      </c>
      <c r="DS146" s="399"/>
      <c r="DT146" s="399"/>
      <c r="DU146" s="399"/>
      <c r="DV146" s="399">
        <v>19.414046279262582</v>
      </c>
      <c r="DW146" s="399">
        <v>0</v>
      </c>
      <c r="DX146" s="399">
        <v>0</v>
      </c>
      <c r="DY146" s="399">
        <v>-8.8832600000000035</v>
      </c>
      <c r="DZ146" s="399">
        <v>1.2396599999999971</v>
      </c>
      <c r="EA146" s="399">
        <v>0</v>
      </c>
      <c r="EB146" s="399">
        <v>0</v>
      </c>
      <c r="EC146" s="399">
        <v>-10.036790765392315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232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147</v>
      </c>
      <c r="B147" s="399" t="s">
        <v>956</v>
      </c>
      <c r="C147" s="399" t="s">
        <v>2328</v>
      </c>
      <c r="D147" s="399" t="s">
        <v>2335</v>
      </c>
      <c r="E147" s="399" t="s">
        <v>894</v>
      </c>
      <c r="F147" s="399" t="s">
        <v>2367</v>
      </c>
      <c r="G147" s="399" t="s">
        <v>2369</v>
      </c>
      <c r="H147" s="399" t="s">
        <v>1239</v>
      </c>
      <c r="I147" s="399" t="s">
        <v>1239</v>
      </c>
      <c r="J147" s="399" t="s">
        <v>2326</v>
      </c>
      <c r="K147" s="788">
        <v>44621</v>
      </c>
      <c r="L147" s="399">
        <v>0</v>
      </c>
      <c r="M147" s="399">
        <v>0</v>
      </c>
      <c r="N147" s="399">
        <v>3.0000000000000001E-3</v>
      </c>
      <c r="O147" s="399">
        <v>1.1999999999999999E-3</v>
      </c>
      <c r="P147" s="399">
        <v>3.0000000000000001E-3</v>
      </c>
      <c r="Q147" s="399">
        <v>1.1999999999999999E-3</v>
      </c>
      <c r="R147" s="399"/>
      <c r="S147" s="399">
        <v>395.23</v>
      </c>
      <c r="T147" s="399">
        <v>297.72000000000003</v>
      </c>
      <c r="U147" s="399"/>
      <c r="V147" s="399">
        <v>2.0788500000000001</v>
      </c>
      <c r="W147" s="399">
        <v>2.0788500000000001</v>
      </c>
      <c r="X147" s="399">
        <v>1.8424499999999999</v>
      </c>
      <c r="Y147" s="399">
        <v>0</v>
      </c>
      <c r="Z147" s="399">
        <v>0.1818348549616374</v>
      </c>
      <c r="AA147" s="399">
        <v>0</v>
      </c>
      <c r="AB147" s="399">
        <v>0</v>
      </c>
      <c r="AC147" s="399">
        <v>0</v>
      </c>
      <c r="AD147" s="399">
        <v>0.29819250952945858</v>
      </c>
      <c r="AE147" s="399">
        <v>0.60043442100812106</v>
      </c>
      <c r="AF147" s="399">
        <v>0.89317157092854604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2.8112662215659039E-2</v>
      </c>
      <c r="AM147" s="399"/>
      <c r="AN147" s="399">
        <v>2.6711608091938501E-3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7.4441410621208709E-2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>
        <v>1.2084900000000001</v>
      </c>
      <c r="BT147" s="399"/>
      <c r="BU147" s="399"/>
      <c r="BV147" s="399">
        <v>0.96761298154975472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0</v>
      </c>
      <c r="CJ147" s="399">
        <v>-0.742788</v>
      </c>
      <c r="CK147" s="399"/>
      <c r="CL147" s="399"/>
      <c r="CM147" s="399"/>
      <c r="CN147" s="399"/>
      <c r="CO147" s="399">
        <v>-0.27474000000000015</v>
      </c>
      <c r="CP147" s="399">
        <v>3.8339999999999916E-2</v>
      </c>
      <c r="CQ147" s="399">
        <v>31</v>
      </c>
      <c r="CR147" s="399">
        <v>7.399191773685887E-2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-2.2980351291824741E-3</v>
      </c>
      <c r="DA147" s="399">
        <v>0</v>
      </c>
      <c r="DB147" s="399">
        <v>0</v>
      </c>
      <c r="DC147" s="399">
        <v>3.8326334350215041E-2</v>
      </c>
      <c r="DD147" s="399">
        <v>0</v>
      </c>
      <c r="DE147" s="399">
        <v>0</v>
      </c>
      <c r="DF147" s="399">
        <v>0</v>
      </c>
      <c r="DG147" s="399">
        <v>3.1943094538979949E-3</v>
      </c>
      <c r="DH147" s="399">
        <v>0</v>
      </c>
      <c r="DI147" s="399">
        <v>3.0356764910612399E-2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4.094134600816559E-3</v>
      </c>
      <c r="DP147" s="399">
        <v>3.1840955049945024E-4</v>
      </c>
      <c r="DQ147" s="399">
        <v>0</v>
      </c>
      <c r="DR147" s="399">
        <v>0</v>
      </c>
      <c r="DS147" s="399"/>
      <c r="DT147" s="399"/>
      <c r="DU147" s="399"/>
      <c r="DV147" s="399">
        <v>0.60043442100812106</v>
      </c>
      <c r="DW147" s="399">
        <v>0</v>
      </c>
      <c r="DX147" s="399">
        <v>0</v>
      </c>
      <c r="DY147" s="399">
        <v>-0.27474000000000021</v>
      </c>
      <c r="DZ147" s="399">
        <v>3.833999999999993E-2</v>
      </c>
      <c r="EA147" s="399">
        <v>0</v>
      </c>
      <c r="EB147" s="399">
        <v>0</v>
      </c>
      <c r="EC147" s="399">
        <v>-0.31041620923893753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232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148</v>
      </c>
      <c r="B148" s="399" t="s">
        <v>956</v>
      </c>
      <c r="C148" s="399" t="s">
        <v>2328</v>
      </c>
      <c r="D148" s="399" t="s">
        <v>1821</v>
      </c>
      <c r="E148" s="399" t="s">
        <v>889</v>
      </c>
      <c r="F148" s="399" t="s">
        <v>889</v>
      </c>
      <c r="G148" s="399" t="s">
        <v>1239</v>
      </c>
      <c r="H148" s="399" t="s">
        <v>1239</v>
      </c>
      <c r="I148" s="399" t="s">
        <v>1239</v>
      </c>
      <c r="J148" s="399" t="s">
        <v>2326</v>
      </c>
      <c r="K148" s="788">
        <v>44652</v>
      </c>
      <c r="L148" s="399">
        <v>0</v>
      </c>
      <c r="M148" s="399">
        <v>0</v>
      </c>
      <c r="N148" s="399">
        <v>31.923999999999999</v>
      </c>
      <c r="O148" s="399">
        <v>31.923999999999999</v>
      </c>
      <c r="P148" s="399">
        <v>31.923999999999999</v>
      </c>
      <c r="Q148" s="399">
        <v>31.923999999999999</v>
      </c>
      <c r="R148" s="399"/>
      <c r="S148" s="399">
        <v>395.23</v>
      </c>
      <c r="T148" s="399">
        <v>297.72000000000003</v>
      </c>
      <c r="U148" s="399"/>
      <c r="V148" s="399">
        <v>22121.735800000002</v>
      </c>
      <c r="W148" s="399">
        <v>22121.735800000002</v>
      </c>
      <c r="X148" s="399">
        <v>19606.124599999999</v>
      </c>
      <c r="Y148" s="399">
        <v>0</v>
      </c>
      <c r="Z148" s="399">
        <v>1934.9653032651042</v>
      </c>
      <c r="AA148" s="399">
        <v>0</v>
      </c>
      <c r="AB148" s="399">
        <v>0</v>
      </c>
      <c r="AC148" s="399">
        <v>0</v>
      </c>
      <c r="AD148" s="399">
        <v>3173.1658914061454</v>
      </c>
      <c r="AE148" s="399">
        <v>6389.4228187544186</v>
      </c>
      <c r="AF148" s="399">
        <v>9504.5364101076339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299.15620952423308</v>
      </c>
      <c r="AM148" s="399"/>
      <c r="AN148" s="399">
        <v>28.424712557568153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792.15586422382216</v>
      </c>
      <c r="BH148" s="399">
        <v>0</v>
      </c>
      <c r="BI148" s="399">
        <v>0</v>
      </c>
      <c r="BJ148" s="399">
        <v>0</v>
      </c>
      <c r="BK148" s="399">
        <v>3797.61</v>
      </c>
      <c r="BL148" s="399">
        <v>256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10296.692274331455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19603.667999999998</v>
      </c>
      <c r="CJ148" s="399">
        <v>-2518.0977999999996</v>
      </c>
      <c r="CK148" s="399"/>
      <c r="CL148" s="399"/>
      <c r="CM148" s="399"/>
      <c r="CN148" s="399"/>
      <c r="CO148" s="399">
        <v>-2923.5999200000015</v>
      </c>
      <c r="CP148" s="399">
        <v>407.98871999999915</v>
      </c>
      <c r="CQ148" s="399">
        <v>30</v>
      </c>
      <c r="CR148" s="399">
        <v>787.37266061049377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-24.454157821340686</v>
      </c>
      <c r="DA148" s="399">
        <v>0</v>
      </c>
      <c r="DB148" s="399">
        <v>0</v>
      </c>
      <c r="DC148" s="399">
        <v>407.84329926542159</v>
      </c>
      <c r="DD148" s="399">
        <v>0</v>
      </c>
      <c r="DE148" s="399">
        <v>0</v>
      </c>
      <c r="DF148" s="399">
        <v>0</v>
      </c>
      <c r="DG148" s="399">
        <v>33.991711668746575</v>
      </c>
      <c r="DH148" s="399">
        <v>0</v>
      </c>
      <c r="DI148" s="399">
        <v>323.0364543354633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43.567050998822594</v>
      </c>
      <c r="DP148" s="399">
        <v>3.3883021633814856</v>
      </c>
      <c r="DQ148" s="399">
        <v>0</v>
      </c>
      <c r="DR148" s="399">
        <v>0</v>
      </c>
      <c r="DS148" s="399"/>
      <c r="DT148" s="399"/>
      <c r="DU148" s="399"/>
      <c r="DV148" s="399">
        <v>6389.4228187544186</v>
      </c>
      <c r="DW148" s="399">
        <v>0</v>
      </c>
      <c r="DX148" s="399">
        <v>0</v>
      </c>
      <c r="DY148" s="399">
        <v>-2923.5999200000006</v>
      </c>
      <c r="DZ148" s="399">
        <v>407.98871999999938</v>
      </c>
      <c r="EA148" s="399">
        <v>0</v>
      </c>
      <c r="EB148" s="399">
        <v>0</v>
      </c>
      <c r="EC148" s="399">
        <v>-3303.2423545812808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232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149</v>
      </c>
      <c r="B149" s="399" t="s">
        <v>2330</v>
      </c>
      <c r="C149" s="399" t="s">
        <v>2328</v>
      </c>
      <c r="D149" s="399" t="s">
        <v>1821</v>
      </c>
      <c r="E149" s="399" t="s">
        <v>889</v>
      </c>
      <c r="F149" s="399" t="s">
        <v>889</v>
      </c>
      <c r="G149" s="399" t="s">
        <v>1239</v>
      </c>
      <c r="H149" s="399" t="s">
        <v>1239</v>
      </c>
      <c r="I149" s="399" t="s">
        <v>1239</v>
      </c>
      <c r="J149" s="399" t="s">
        <v>2326</v>
      </c>
      <c r="K149" s="788">
        <v>44652</v>
      </c>
      <c r="L149" s="399">
        <v>0</v>
      </c>
      <c r="M149" s="399">
        <v>0</v>
      </c>
      <c r="N149" s="399">
        <v>0.1</v>
      </c>
      <c r="O149" s="399">
        <v>0.1</v>
      </c>
      <c r="P149" s="399">
        <v>0.1</v>
      </c>
      <c r="Q149" s="399">
        <v>0.1</v>
      </c>
      <c r="R149" s="399"/>
      <c r="S149" s="399">
        <v>395.23</v>
      </c>
      <c r="T149" s="399">
        <v>297.72000000000003</v>
      </c>
      <c r="U149" s="399"/>
      <c r="V149" s="399">
        <v>69.295000000000016</v>
      </c>
      <c r="W149" s="399">
        <v>69.295000000000016</v>
      </c>
      <c r="X149" s="399">
        <v>61.414999999999999</v>
      </c>
      <c r="Y149" s="399">
        <v>0</v>
      </c>
      <c r="Z149" s="399">
        <v>6.0611618320545801</v>
      </c>
      <c r="AA149" s="399">
        <v>0</v>
      </c>
      <c r="AB149" s="399">
        <v>0</v>
      </c>
      <c r="AC149" s="399">
        <v>0</v>
      </c>
      <c r="AD149" s="399">
        <v>9.9397503176486204</v>
      </c>
      <c r="AE149" s="399">
        <v>20.014480700270703</v>
      </c>
      <c r="AF149" s="399">
        <v>29.772385697618201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0.937088740521968</v>
      </c>
      <c r="AM149" s="399"/>
      <c r="AN149" s="399">
        <v>8.9038693639794997E-2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2.4813803540402901</v>
      </c>
      <c r="BH149" s="399">
        <v>0</v>
      </c>
      <c r="BI149" s="399">
        <v>0</v>
      </c>
      <c r="BJ149" s="399">
        <v>0</v>
      </c>
      <c r="BK149" s="399">
        <v>39.21</v>
      </c>
      <c r="BL149" s="399">
        <v>1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32.253766051658488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61.414999999999999</v>
      </c>
      <c r="CJ149" s="399">
        <v>-7.9100000000000037</v>
      </c>
      <c r="CK149" s="399"/>
      <c r="CL149" s="399"/>
      <c r="CM149" s="399"/>
      <c r="CN149" s="399"/>
      <c r="CO149" s="399">
        <v>-9.1580000000000048</v>
      </c>
      <c r="CP149" s="399">
        <v>1.2779999999999974</v>
      </c>
      <c r="CQ149" s="399">
        <v>30</v>
      </c>
      <c r="CR149" s="399">
        <v>2.4663972578952951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-7.6601170972748989E-2</v>
      </c>
      <c r="DA149" s="399">
        <v>0</v>
      </c>
      <c r="DB149" s="399">
        <v>0</v>
      </c>
      <c r="DC149" s="399">
        <v>1.2775444783405021</v>
      </c>
      <c r="DD149" s="399">
        <v>0</v>
      </c>
      <c r="DE149" s="399">
        <v>0</v>
      </c>
      <c r="DF149" s="399">
        <v>0</v>
      </c>
      <c r="DG149" s="399">
        <v>0.10647698179660026</v>
      </c>
      <c r="DH149" s="399">
        <v>0</v>
      </c>
      <c r="DI149" s="399">
        <v>1.0118921636870795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0.13647115336055216</v>
      </c>
      <c r="DP149" s="399">
        <v>1.0613651683315017E-2</v>
      </c>
      <c r="DQ149" s="399">
        <v>0</v>
      </c>
      <c r="DR149" s="399">
        <v>0</v>
      </c>
      <c r="DS149" s="399"/>
      <c r="DT149" s="399"/>
      <c r="DU149" s="399"/>
      <c r="DV149" s="399">
        <v>20.014480700270703</v>
      </c>
      <c r="DW149" s="399">
        <v>0</v>
      </c>
      <c r="DX149" s="399">
        <v>0</v>
      </c>
      <c r="DY149" s="399">
        <v>-9.1580000000000048</v>
      </c>
      <c r="DZ149" s="399">
        <v>1.2779999999999951</v>
      </c>
      <c r="EA149" s="399">
        <v>0</v>
      </c>
      <c r="EB149" s="399">
        <v>0</v>
      </c>
      <c r="EC149" s="399">
        <v>-10.347206974631252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232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150</v>
      </c>
      <c r="B150" s="399" t="s">
        <v>956</v>
      </c>
      <c r="C150" s="399" t="s">
        <v>2328</v>
      </c>
      <c r="D150" s="399" t="s">
        <v>1821</v>
      </c>
      <c r="E150" s="399" t="s">
        <v>889</v>
      </c>
      <c r="F150" s="399" t="s">
        <v>2331</v>
      </c>
      <c r="G150" s="399" t="s">
        <v>1239</v>
      </c>
      <c r="H150" s="399" t="s">
        <v>1239</v>
      </c>
      <c r="I150" s="399" t="s">
        <v>1239</v>
      </c>
      <c r="J150" s="399" t="s">
        <v>2326</v>
      </c>
      <c r="K150" s="788">
        <v>44652</v>
      </c>
      <c r="L150" s="399">
        <v>0</v>
      </c>
      <c r="M150" s="399">
        <v>0</v>
      </c>
      <c r="N150" s="399">
        <v>0.3</v>
      </c>
      <c r="O150" s="399">
        <v>0.3</v>
      </c>
      <c r="P150" s="399">
        <v>0.3</v>
      </c>
      <c r="Q150" s="399">
        <v>0.3</v>
      </c>
      <c r="R150" s="399"/>
      <c r="S150" s="399">
        <v>325.25</v>
      </c>
      <c r="T150" s="399">
        <v>297.72000000000003</v>
      </c>
      <c r="U150" s="399"/>
      <c r="V150" s="399">
        <v>186.89100000000002</v>
      </c>
      <c r="W150" s="399">
        <v>186.89100000000002</v>
      </c>
      <c r="X150" s="399">
        <v>159.80399999999997</v>
      </c>
      <c r="Y150" s="399">
        <v>0</v>
      </c>
      <c r="Z150" s="399">
        <v>0</v>
      </c>
      <c r="AA150" s="399">
        <v>0</v>
      </c>
      <c r="AB150" s="399">
        <v>0</v>
      </c>
      <c r="AC150" s="399">
        <v>0</v>
      </c>
      <c r="AD150" s="399">
        <v>29.819250952945858</v>
      </c>
      <c r="AE150" s="399">
        <v>60.043442100812101</v>
      </c>
      <c r="AF150" s="399">
        <v>89.3171570928546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0</v>
      </c>
      <c r="AM150" s="399"/>
      <c r="AN150" s="399">
        <v>0.26711608091938499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7.4441410621208703</v>
      </c>
      <c r="BH150" s="399">
        <v>0</v>
      </c>
      <c r="BI150" s="399">
        <v>0</v>
      </c>
      <c r="BJ150" s="399">
        <v>0</v>
      </c>
      <c r="BK150" s="399">
        <v>7.3</v>
      </c>
      <c r="BL150" s="399">
        <v>2</v>
      </c>
      <c r="BM150" s="399"/>
      <c r="BN150" s="399"/>
      <c r="BO150" s="399"/>
      <c r="BP150" s="399"/>
      <c r="BQ150" s="399"/>
      <c r="BR150" s="399"/>
      <c r="BS150" s="399"/>
      <c r="BT150" s="399">
        <v>103.875</v>
      </c>
      <c r="BU150" s="399"/>
      <c r="BV150" s="399">
        <v>96.761298154975464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55.929000000000002</v>
      </c>
      <c r="CJ150" s="399">
        <v>-9.512999999999991</v>
      </c>
      <c r="CK150" s="399"/>
      <c r="CL150" s="399"/>
      <c r="CM150" s="399"/>
      <c r="CN150" s="399"/>
      <c r="CO150" s="399">
        <v>-30.920999999999996</v>
      </c>
      <c r="CP150" s="399">
        <v>3.8339999999999916</v>
      </c>
      <c r="CQ150" s="399">
        <v>30</v>
      </c>
      <c r="CR150" s="399">
        <v>3.9541018225430093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-0.22980351291824874</v>
      </c>
      <c r="DA150" s="399">
        <v>0</v>
      </c>
      <c r="DB150" s="399">
        <v>0</v>
      </c>
      <c r="DC150" s="399">
        <v>3.8326334350215063</v>
      </c>
      <c r="DD150" s="399">
        <v>0</v>
      </c>
      <c r="DE150" s="399">
        <v>0</v>
      </c>
      <c r="DF150" s="399">
        <v>0</v>
      </c>
      <c r="DG150" s="399">
        <v>0.31943094538979899</v>
      </c>
      <c r="DH150" s="399">
        <v>0</v>
      </c>
      <c r="DI150" s="399">
        <v>0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0</v>
      </c>
      <c r="DP150" s="399">
        <v>3.1840955049944997E-2</v>
      </c>
      <c r="DQ150" s="399">
        <v>0</v>
      </c>
      <c r="DR150" s="399">
        <v>0</v>
      </c>
      <c r="DS150" s="399"/>
      <c r="DT150" s="399"/>
      <c r="DU150" s="399"/>
      <c r="DV150" s="399">
        <v>60.043442100812101</v>
      </c>
      <c r="DW150" s="399">
        <v>0</v>
      </c>
      <c r="DX150" s="399">
        <v>0</v>
      </c>
      <c r="DY150" s="399">
        <v>-30.921000000000006</v>
      </c>
      <c r="DZ150" s="399">
        <v>3.833999999999989</v>
      </c>
      <c r="EA150" s="399">
        <v>0</v>
      </c>
      <c r="EB150" s="399">
        <v>0</v>
      </c>
      <c r="EC150" s="399">
        <v>-31.041620923893753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232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151</v>
      </c>
      <c r="B151" s="399" t="s">
        <v>956</v>
      </c>
      <c r="C151" s="399" t="s">
        <v>2328</v>
      </c>
      <c r="D151" s="399" t="s">
        <v>1821</v>
      </c>
      <c r="E151" s="399" t="s">
        <v>889</v>
      </c>
      <c r="F151" s="399" t="s">
        <v>2332</v>
      </c>
      <c r="G151" s="399" t="s">
        <v>1239</v>
      </c>
      <c r="H151" s="399" t="s">
        <v>1239</v>
      </c>
      <c r="I151" s="399" t="s">
        <v>1239</v>
      </c>
      <c r="J151" s="399" t="s">
        <v>2326</v>
      </c>
      <c r="K151" s="788">
        <v>44652</v>
      </c>
      <c r="L151" s="399">
        <v>0</v>
      </c>
      <c r="M151" s="399">
        <v>0</v>
      </c>
      <c r="N151" s="399">
        <v>0.49199999999999999</v>
      </c>
      <c r="O151" s="399">
        <v>0.49199999999999999</v>
      </c>
      <c r="P151" s="399">
        <v>0.49199999999999999</v>
      </c>
      <c r="Q151" s="399">
        <v>0.49199999999999999</v>
      </c>
      <c r="R151" s="399"/>
      <c r="S151" s="399">
        <v>325.25</v>
      </c>
      <c r="T151" s="399">
        <v>297.72000000000003</v>
      </c>
      <c r="U151" s="399"/>
      <c r="V151" s="399">
        <v>306.50124</v>
      </c>
      <c r="W151" s="399">
        <v>306.50124</v>
      </c>
      <c r="X151" s="399">
        <v>262.07855999999998</v>
      </c>
      <c r="Y151" s="399">
        <v>0</v>
      </c>
      <c r="Z151" s="399">
        <v>0</v>
      </c>
      <c r="AA151" s="399">
        <v>0</v>
      </c>
      <c r="AB151" s="399">
        <v>0</v>
      </c>
      <c r="AC151" s="399">
        <v>0</v>
      </c>
      <c r="AD151" s="399">
        <v>48.90357156283121</v>
      </c>
      <c r="AE151" s="399">
        <v>98.471245045331855</v>
      </c>
      <c r="AF151" s="399">
        <v>146.48013763228153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0</v>
      </c>
      <c r="AM151" s="399"/>
      <c r="AN151" s="399">
        <v>0.43807037270779137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12.208391341878228</v>
      </c>
      <c r="BH151" s="399">
        <v>0</v>
      </c>
      <c r="BI151" s="399">
        <v>0</v>
      </c>
      <c r="BJ151" s="399">
        <v>0</v>
      </c>
      <c r="BK151" s="399">
        <v>20.81</v>
      </c>
      <c r="BL151" s="399">
        <v>1</v>
      </c>
      <c r="BM151" s="399"/>
      <c r="BN151" s="399"/>
      <c r="BO151" s="399"/>
      <c r="BP151" s="399"/>
      <c r="BQ151" s="399"/>
      <c r="BR151" s="399"/>
      <c r="BS151" s="399"/>
      <c r="BT151" s="399">
        <v>104.83044</v>
      </c>
      <c r="BU151" s="399"/>
      <c r="BV151" s="399">
        <v>158.68852897415977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156.60890000000001</v>
      </c>
      <c r="CJ151" s="399">
        <v>-27.320859999999982</v>
      </c>
      <c r="CK151" s="399"/>
      <c r="CL151" s="399"/>
      <c r="CM151" s="399"/>
      <c r="CN151" s="399"/>
      <c r="CO151" s="399">
        <v>-50.710439999999998</v>
      </c>
      <c r="CP151" s="399">
        <v>6.2877599999999862</v>
      </c>
      <c r="CQ151" s="399">
        <v>30</v>
      </c>
      <c r="CR151" s="399">
        <v>6.4847269889705217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-0.37687776118593064</v>
      </c>
      <c r="DA151" s="399">
        <v>0</v>
      </c>
      <c r="DB151" s="399">
        <v>0</v>
      </c>
      <c r="DC151" s="399">
        <v>6.2855188334352761</v>
      </c>
      <c r="DD151" s="399">
        <v>0</v>
      </c>
      <c r="DE151" s="399">
        <v>0</v>
      </c>
      <c r="DF151" s="399">
        <v>0</v>
      </c>
      <c r="DG151" s="399">
        <v>0.52386675043927156</v>
      </c>
      <c r="DH151" s="399">
        <v>0</v>
      </c>
      <c r="DI151" s="399">
        <v>0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0</v>
      </c>
      <c r="DP151" s="399">
        <v>5.2219166281909868E-2</v>
      </c>
      <c r="DQ151" s="399">
        <v>0</v>
      </c>
      <c r="DR151" s="399">
        <v>0</v>
      </c>
      <c r="DS151" s="399"/>
      <c r="DT151" s="399"/>
      <c r="DU151" s="399"/>
      <c r="DV151" s="399">
        <v>98.471245045331855</v>
      </c>
      <c r="DW151" s="399">
        <v>0</v>
      </c>
      <c r="DX151" s="399">
        <v>0</v>
      </c>
      <c r="DY151" s="399">
        <v>-50.710439999999991</v>
      </c>
      <c r="DZ151" s="399">
        <v>6.2877599999999916</v>
      </c>
      <c r="EA151" s="399">
        <v>0</v>
      </c>
      <c r="EB151" s="399">
        <v>0</v>
      </c>
      <c r="EC151" s="399">
        <v>-50.908258315185762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232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152</v>
      </c>
      <c r="B152" s="399" t="s">
        <v>956</v>
      </c>
      <c r="C152" s="399" t="s">
        <v>2328</v>
      </c>
      <c r="D152" s="399" t="s">
        <v>1821</v>
      </c>
      <c r="E152" s="399" t="s">
        <v>889</v>
      </c>
      <c r="F152" s="399" t="s">
        <v>2333</v>
      </c>
      <c r="G152" s="399" t="s">
        <v>1239</v>
      </c>
      <c r="H152" s="399" t="s">
        <v>1239</v>
      </c>
      <c r="I152" s="399" t="s">
        <v>1239</v>
      </c>
      <c r="J152" s="399" t="s">
        <v>2326</v>
      </c>
      <c r="K152" s="788">
        <v>44652</v>
      </c>
      <c r="L152" s="399">
        <v>0</v>
      </c>
      <c r="M152" s="399">
        <v>0</v>
      </c>
      <c r="N152" s="399">
        <v>0.66600000000000004</v>
      </c>
      <c r="O152" s="399">
        <v>0.66600000000000004</v>
      </c>
      <c r="P152" s="399">
        <v>0.66600000000000004</v>
      </c>
      <c r="Q152" s="399">
        <v>0.66600000000000004</v>
      </c>
      <c r="R152" s="399"/>
      <c r="S152" s="399">
        <v>325.25</v>
      </c>
      <c r="T152" s="399">
        <v>297.72000000000003</v>
      </c>
      <c r="U152" s="399"/>
      <c r="V152" s="399">
        <v>414.89802000000003</v>
      </c>
      <c r="W152" s="399">
        <v>414.89802000000003</v>
      </c>
      <c r="X152" s="399">
        <v>354.76488000000001</v>
      </c>
      <c r="Y152" s="399">
        <v>0</v>
      </c>
      <c r="Z152" s="399">
        <v>0</v>
      </c>
      <c r="AA152" s="399">
        <v>0</v>
      </c>
      <c r="AB152" s="399">
        <v>0</v>
      </c>
      <c r="AC152" s="399">
        <v>0</v>
      </c>
      <c r="AD152" s="399">
        <v>66.198737115539814</v>
      </c>
      <c r="AE152" s="399">
        <v>133.29644146380286</v>
      </c>
      <c r="AF152" s="399">
        <v>198.28408874613723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0</v>
      </c>
      <c r="AM152" s="399"/>
      <c r="AN152" s="399">
        <v>0.59299769964103466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16.525993157908331</v>
      </c>
      <c r="BH152" s="399">
        <v>0</v>
      </c>
      <c r="BI152" s="399">
        <v>0</v>
      </c>
      <c r="BJ152" s="399">
        <v>0</v>
      </c>
      <c r="BK152" s="399">
        <v>74.760000000000005</v>
      </c>
      <c r="BL152" s="399">
        <v>5</v>
      </c>
      <c r="BM152" s="399"/>
      <c r="BN152" s="399"/>
      <c r="BO152" s="399"/>
      <c r="BP152" s="399"/>
      <c r="BQ152" s="399"/>
      <c r="BR152" s="399"/>
      <c r="BS152" s="399"/>
      <c r="BT152" s="399">
        <v>35.477820000000008</v>
      </c>
      <c r="BU152" s="399"/>
      <c r="BV152" s="399">
        <v>214.81008190404555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321.2047</v>
      </c>
      <c r="CJ152" s="399">
        <v>-52.231519999999989</v>
      </c>
      <c r="CK152" s="399"/>
      <c r="CL152" s="399"/>
      <c r="CM152" s="399"/>
      <c r="CN152" s="399"/>
      <c r="CO152" s="399">
        <v>-68.644620000000003</v>
      </c>
      <c r="CP152" s="399">
        <v>8.5114799999999828</v>
      </c>
      <c r="CQ152" s="399">
        <v>30</v>
      </c>
      <c r="CR152" s="399">
        <v>8.7781060460454796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-0.51016379867851924</v>
      </c>
      <c r="DA152" s="399">
        <v>0</v>
      </c>
      <c r="DB152" s="399">
        <v>0</v>
      </c>
      <c r="DC152" s="399">
        <v>8.5084462257477469</v>
      </c>
      <c r="DD152" s="399">
        <v>0</v>
      </c>
      <c r="DE152" s="399">
        <v>0</v>
      </c>
      <c r="DF152" s="399">
        <v>0</v>
      </c>
      <c r="DG152" s="399">
        <v>0.70913669876535579</v>
      </c>
      <c r="DH152" s="399">
        <v>0</v>
      </c>
      <c r="DI152" s="399">
        <v>0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0</v>
      </c>
      <c r="DP152" s="399">
        <v>7.0686920210877968E-2</v>
      </c>
      <c r="DQ152" s="399">
        <v>0</v>
      </c>
      <c r="DR152" s="399">
        <v>0</v>
      </c>
      <c r="DS152" s="399"/>
      <c r="DT152" s="399"/>
      <c r="DU152" s="399"/>
      <c r="DV152" s="399">
        <v>133.29644146380286</v>
      </c>
      <c r="DW152" s="399">
        <v>0</v>
      </c>
      <c r="DX152" s="399">
        <v>0</v>
      </c>
      <c r="DY152" s="399">
        <v>-68.644620000000003</v>
      </c>
      <c r="DZ152" s="399">
        <v>8.5114799999999775</v>
      </c>
      <c r="EA152" s="399">
        <v>0</v>
      </c>
      <c r="EB152" s="399">
        <v>0</v>
      </c>
      <c r="EC152" s="399">
        <v>-68.912398451044126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232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153</v>
      </c>
      <c r="B153" s="399" t="s">
        <v>956</v>
      </c>
      <c r="C153" s="399" t="s">
        <v>2328</v>
      </c>
      <c r="D153" s="399" t="s">
        <v>1821</v>
      </c>
      <c r="E153" s="399" t="s">
        <v>889</v>
      </c>
      <c r="F153" s="399" t="s">
        <v>2334</v>
      </c>
      <c r="G153" s="399" t="s">
        <v>1239</v>
      </c>
      <c r="H153" s="399" t="s">
        <v>1239</v>
      </c>
      <c r="I153" s="399" t="s">
        <v>1239</v>
      </c>
      <c r="J153" s="399" t="s">
        <v>2326</v>
      </c>
      <c r="K153" s="788">
        <v>44652</v>
      </c>
      <c r="L153" s="399">
        <v>0</v>
      </c>
      <c r="M153" s="399">
        <v>0</v>
      </c>
      <c r="N153" s="399">
        <v>0.13900000000000001</v>
      </c>
      <c r="O153" s="399">
        <v>0.13900000000000001</v>
      </c>
      <c r="P153" s="399">
        <v>0.13900000000000001</v>
      </c>
      <c r="Q153" s="399">
        <v>0.13900000000000001</v>
      </c>
      <c r="R153" s="399"/>
      <c r="S153" s="399">
        <v>325.25</v>
      </c>
      <c r="T153" s="399">
        <v>297.72000000000003</v>
      </c>
      <c r="U153" s="399"/>
      <c r="V153" s="399">
        <v>86.592830000000021</v>
      </c>
      <c r="W153" s="399">
        <v>86.592830000000021</v>
      </c>
      <c r="X153" s="399">
        <v>74.04252000000001</v>
      </c>
      <c r="Y153" s="399">
        <v>0</v>
      </c>
      <c r="Z153" s="399">
        <v>0</v>
      </c>
      <c r="AA153" s="399">
        <v>0</v>
      </c>
      <c r="AB153" s="399">
        <v>0</v>
      </c>
      <c r="AC153" s="399">
        <v>0</v>
      </c>
      <c r="AD153" s="399">
        <v>13.816252941531582</v>
      </c>
      <c r="AE153" s="399">
        <v>27.820128173376276</v>
      </c>
      <c r="AF153" s="399">
        <v>41.3836161196893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0</v>
      </c>
      <c r="AM153" s="399"/>
      <c r="AN153" s="399">
        <v>0.12376378415931506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3.4491186921160035</v>
      </c>
      <c r="BH153" s="399">
        <v>0</v>
      </c>
      <c r="BI153" s="399">
        <v>0</v>
      </c>
      <c r="BJ153" s="399">
        <v>0</v>
      </c>
      <c r="BK153" s="399">
        <v>23.91</v>
      </c>
      <c r="BL153" s="399">
        <v>2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44.832734811805302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74.575200000000009</v>
      </c>
      <c r="CJ153" s="399">
        <v>-12.047629999999998</v>
      </c>
      <c r="CK153" s="399"/>
      <c r="CL153" s="399"/>
      <c r="CM153" s="399"/>
      <c r="CN153" s="399"/>
      <c r="CO153" s="399">
        <v>-14.32673</v>
      </c>
      <c r="CP153" s="399">
        <v>1.7764199999999963</v>
      </c>
      <c r="CQ153" s="399">
        <v>30</v>
      </c>
      <c r="CR153" s="399">
        <v>1.8320671777782565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-0.10647562765212015</v>
      </c>
      <c r="DA153" s="399">
        <v>0</v>
      </c>
      <c r="DB153" s="399">
        <v>0</v>
      </c>
      <c r="DC153" s="399">
        <v>1.7757868248932951</v>
      </c>
      <c r="DD153" s="399">
        <v>0</v>
      </c>
      <c r="DE153" s="399">
        <v>0</v>
      </c>
      <c r="DF153" s="399">
        <v>0</v>
      </c>
      <c r="DG153" s="399">
        <v>0.14800300469727379</v>
      </c>
      <c r="DH153" s="399">
        <v>0</v>
      </c>
      <c r="DI153" s="399">
        <v>0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0</v>
      </c>
      <c r="DP153" s="399">
        <v>1.475297583980785E-2</v>
      </c>
      <c r="DQ153" s="399">
        <v>0</v>
      </c>
      <c r="DR153" s="399">
        <v>0</v>
      </c>
      <c r="DS153" s="399"/>
      <c r="DT153" s="399"/>
      <c r="DU153" s="399"/>
      <c r="DV153" s="399">
        <v>27.820128173376276</v>
      </c>
      <c r="DW153" s="399">
        <v>0</v>
      </c>
      <c r="DX153" s="399">
        <v>0</v>
      </c>
      <c r="DY153" s="399">
        <v>-14.326730000000001</v>
      </c>
      <c r="DZ153" s="399">
        <v>1.7764199999999946</v>
      </c>
      <c r="EA153" s="399">
        <v>0</v>
      </c>
      <c r="EB153" s="399">
        <v>0</v>
      </c>
      <c r="EC153" s="399">
        <v>-14.382617694737439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232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154</v>
      </c>
      <c r="B154" s="399" t="s">
        <v>956</v>
      </c>
      <c r="C154" s="399" t="s">
        <v>2328</v>
      </c>
      <c r="D154" s="399" t="s">
        <v>1824</v>
      </c>
      <c r="E154" s="399" t="s">
        <v>890</v>
      </c>
      <c r="F154" s="399" t="s">
        <v>1239</v>
      </c>
      <c r="G154" s="399" t="s">
        <v>1239</v>
      </c>
      <c r="H154" s="399" t="s">
        <v>1239</v>
      </c>
      <c r="I154" s="399" t="s">
        <v>1239</v>
      </c>
      <c r="J154" s="399" t="s">
        <v>2326</v>
      </c>
      <c r="K154" s="788">
        <v>44652</v>
      </c>
      <c r="L154" s="399">
        <v>0</v>
      </c>
      <c r="M154" s="399">
        <v>0</v>
      </c>
      <c r="N154" s="399">
        <v>1.607</v>
      </c>
      <c r="O154" s="399">
        <v>1.607</v>
      </c>
      <c r="P154" s="399">
        <v>1.607</v>
      </c>
      <c r="Q154" s="399">
        <v>1.607</v>
      </c>
      <c r="R154" s="399"/>
      <c r="S154" s="399">
        <v>395.23</v>
      </c>
      <c r="T154" s="399">
        <v>297.72000000000003</v>
      </c>
      <c r="U154" s="399"/>
      <c r="V154" s="399">
        <v>1113.5706500000001</v>
      </c>
      <c r="W154" s="399">
        <v>1113.5706500000001</v>
      </c>
      <c r="X154" s="399">
        <v>986.93904999999995</v>
      </c>
      <c r="Y154" s="399">
        <v>0</v>
      </c>
      <c r="Z154" s="399">
        <v>97.402870641117104</v>
      </c>
      <c r="AA154" s="399">
        <v>0</v>
      </c>
      <c r="AB154" s="399">
        <v>0</v>
      </c>
      <c r="AC154" s="399">
        <v>0</v>
      </c>
      <c r="AD154" s="399">
        <v>159.73178760461332</v>
      </c>
      <c r="AE154" s="399">
        <v>321.63270485335016</v>
      </c>
      <c r="AF154" s="399">
        <v>478.44223816072446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15.059016060188025</v>
      </c>
      <c r="AM154" s="399"/>
      <c r="AN154" s="399">
        <v>1.4308518067915055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39.875782289427463</v>
      </c>
      <c r="BH154" s="399">
        <v>0</v>
      </c>
      <c r="BI154" s="399">
        <v>0</v>
      </c>
      <c r="BJ154" s="399">
        <v>0</v>
      </c>
      <c r="BK154" s="399">
        <v>359.56</v>
      </c>
      <c r="BL154" s="399">
        <v>2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518.31802045015195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988.78150000000005</v>
      </c>
      <c r="CJ154" s="399">
        <v>-124.81915000000004</v>
      </c>
      <c r="CK154" s="399"/>
      <c r="CL154" s="399"/>
      <c r="CM154" s="399"/>
      <c r="CN154" s="399"/>
      <c r="CO154" s="399">
        <v>-147.16906000000006</v>
      </c>
      <c r="CP154" s="399">
        <v>20.537459999999957</v>
      </c>
      <c r="CQ154" s="399">
        <v>30</v>
      </c>
      <c r="CR154" s="399">
        <v>39.635003934377664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-1.2309808175320711</v>
      </c>
      <c r="DA154" s="399">
        <v>0</v>
      </c>
      <c r="DB154" s="399">
        <v>0</v>
      </c>
      <c r="DC154" s="399">
        <v>20.530139766931882</v>
      </c>
      <c r="DD154" s="399">
        <v>0</v>
      </c>
      <c r="DE154" s="399">
        <v>0</v>
      </c>
      <c r="DF154" s="399">
        <v>0</v>
      </c>
      <c r="DG154" s="399">
        <v>1.7110850974713614</v>
      </c>
      <c r="DH154" s="399">
        <v>0</v>
      </c>
      <c r="DI154" s="399">
        <v>16.261107070451359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2.1930914345040726</v>
      </c>
      <c r="DP154" s="399">
        <v>0.17056138255087228</v>
      </c>
      <c r="DQ154" s="399">
        <v>0</v>
      </c>
      <c r="DR154" s="399">
        <v>0</v>
      </c>
      <c r="DS154" s="399"/>
      <c r="DT154" s="399"/>
      <c r="DU154" s="399"/>
      <c r="DV154" s="399">
        <v>321.63270485335016</v>
      </c>
      <c r="DW154" s="399">
        <v>0</v>
      </c>
      <c r="DX154" s="399">
        <v>0</v>
      </c>
      <c r="DY154" s="399">
        <v>-147.16906000000012</v>
      </c>
      <c r="DZ154" s="399">
        <v>20.537459999999953</v>
      </c>
      <c r="EA154" s="399">
        <v>0</v>
      </c>
      <c r="EB154" s="399">
        <v>0</v>
      </c>
      <c r="EC154" s="399">
        <v>-166.2796160823242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232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155</v>
      </c>
      <c r="B155" s="399" t="s">
        <v>956</v>
      </c>
      <c r="C155" s="399" t="s">
        <v>2343</v>
      </c>
      <c r="D155" s="399" t="s">
        <v>533</v>
      </c>
      <c r="E155" s="399" t="s">
        <v>890</v>
      </c>
      <c r="F155" s="399" t="s">
        <v>1239</v>
      </c>
      <c r="G155" s="399" t="s">
        <v>1239</v>
      </c>
      <c r="H155" s="399" t="s">
        <v>1239</v>
      </c>
      <c r="I155" s="399" t="s">
        <v>893</v>
      </c>
      <c r="J155" s="399" t="s">
        <v>2326</v>
      </c>
      <c r="K155" s="788">
        <v>44652</v>
      </c>
      <c r="L155" s="399">
        <v>715</v>
      </c>
      <c r="M155" s="399">
        <v>715</v>
      </c>
      <c r="N155" s="399">
        <v>29.952000000000002</v>
      </c>
      <c r="O155" s="399">
        <v>29.952000000000002</v>
      </c>
      <c r="P155" s="399">
        <v>29.952000000000002</v>
      </c>
      <c r="Q155" s="399">
        <v>29.952000000000002</v>
      </c>
      <c r="R155" s="399">
        <v>78.569999999999993</v>
      </c>
      <c r="S155" s="399">
        <v>72.290000000000006</v>
      </c>
      <c r="T155" s="399">
        <v>297.72000000000003</v>
      </c>
      <c r="U155" s="399">
        <v>56177.549999999996</v>
      </c>
      <c r="V155" s="399">
        <v>11082.539520000002</v>
      </c>
      <c r="W155" s="399">
        <v>67260.089519999994</v>
      </c>
      <c r="X155" s="399">
        <v>50022.514880000002</v>
      </c>
      <c r="Y155" s="399">
        <v>0</v>
      </c>
      <c r="Z155" s="399">
        <v>1579.432096985181</v>
      </c>
      <c r="AA155" s="399">
        <v>0</v>
      </c>
      <c r="AB155" s="399">
        <v>0</v>
      </c>
      <c r="AC155" s="399">
        <v>0</v>
      </c>
      <c r="AD155" s="399">
        <v>21794.517656357159</v>
      </c>
      <c r="AE155" s="399">
        <v>34384.966773572196</v>
      </c>
      <c r="AF155" s="399">
        <v>8917.424964150603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280.67681956113984</v>
      </c>
      <c r="AM155" s="399"/>
      <c r="AN155" s="399">
        <v>18.059672329312335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286.95371813143595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9204.3786822820384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50021.727999999996</v>
      </c>
      <c r="CJ155" s="399">
        <v>-17238.391519999997</v>
      </c>
      <c r="CK155" s="399"/>
      <c r="CL155" s="399"/>
      <c r="CM155" s="399"/>
      <c r="CN155" s="399"/>
      <c r="CO155" s="399">
        <v>-17620.361199999999</v>
      </c>
      <c r="CP155" s="399">
        <v>382.78655999999921</v>
      </c>
      <c r="CQ155" s="399">
        <v>30</v>
      </c>
      <c r="CR155" s="399">
        <v>533.71279197147669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-167.96051408843778</v>
      </c>
      <c r="DA155" s="399">
        <v>0</v>
      </c>
      <c r="DB155" s="399">
        <v>0</v>
      </c>
      <c r="DC155" s="399">
        <v>382.65012215254683</v>
      </c>
      <c r="DD155" s="399">
        <v>0</v>
      </c>
      <c r="DE155" s="399">
        <v>0</v>
      </c>
      <c r="DF155" s="399">
        <v>0</v>
      </c>
      <c r="DG155" s="399">
        <v>12.313293998720553</v>
      </c>
      <c r="DH155" s="399">
        <v>0</v>
      </c>
      <c r="DI155" s="399">
        <v>263.68128855476925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40.875839854552567</v>
      </c>
      <c r="DP155" s="399">
        <v>2.1527614993269886</v>
      </c>
      <c r="DQ155" s="399">
        <v>0</v>
      </c>
      <c r="DR155" s="399">
        <v>0</v>
      </c>
      <c r="DS155" s="399"/>
      <c r="DT155" s="399"/>
      <c r="DU155" s="399">
        <v>34384.966773572196</v>
      </c>
      <c r="DV155" s="399">
        <v>0</v>
      </c>
      <c r="DW155" s="399">
        <v>0</v>
      </c>
      <c r="DX155" s="399">
        <v>0</v>
      </c>
      <c r="DY155" s="399">
        <v>-17620.361199999999</v>
      </c>
      <c r="DZ155" s="399">
        <v>382.78656000000046</v>
      </c>
      <c r="EA155" s="399">
        <v>0</v>
      </c>
      <c r="EB155" s="399">
        <v>0</v>
      </c>
      <c r="EC155" s="399">
        <v>-17776.547558246544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232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156</v>
      </c>
      <c r="B156" s="399" t="s">
        <v>956</v>
      </c>
      <c r="C156" s="399" t="s">
        <v>2343</v>
      </c>
      <c r="D156" s="399" t="s">
        <v>533</v>
      </c>
      <c r="E156" s="399" t="s">
        <v>890</v>
      </c>
      <c r="F156" s="399" t="s">
        <v>1239</v>
      </c>
      <c r="G156" s="399" t="s">
        <v>1239</v>
      </c>
      <c r="H156" s="399" t="s">
        <v>1239</v>
      </c>
      <c r="I156" s="399" t="s">
        <v>2323</v>
      </c>
      <c r="J156" s="399" t="s">
        <v>2326</v>
      </c>
      <c r="K156" s="788">
        <v>44652</v>
      </c>
      <c r="L156" s="399">
        <v>715</v>
      </c>
      <c r="M156" s="399">
        <v>715</v>
      </c>
      <c r="N156" s="399">
        <v>230.482</v>
      </c>
      <c r="O156" s="399">
        <v>230.482</v>
      </c>
      <c r="P156" s="399">
        <v>230.482</v>
      </c>
      <c r="Q156" s="399">
        <v>230.482</v>
      </c>
      <c r="R156" s="399">
        <v>25.76</v>
      </c>
      <c r="S156" s="399">
        <v>72.290000000000006</v>
      </c>
      <c r="T156" s="399">
        <v>297.72000000000003</v>
      </c>
      <c r="U156" s="399">
        <v>18418.400000000001</v>
      </c>
      <c r="V156" s="399">
        <v>85280.644820000016</v>
      </c>
      <c r="W156" s="399">
        <v>103699.04482000001</v>
      </c>
      <c r="X156" s="399">
        <v>104065.63807999999</v>
      </c>
      <c r="Y156" s="399">
        <v>0</v>
      </c>
      <c r="Z156" s="399">
        <v>12153.801701967765</v>
      </c>
      <c r="AA156" s="399">
        <v>0</v>
      </c>
      <c r="AB156" s="399">
        <v>0</v>
      </c>
      <c r="AC156" s="399">
        <v>0</v>
      </c>
      <c r="AD156" s="399">
        <v>8809.0697848288128</v>
      </c>
      <c r="AE156" s="399">
        <v>9608.3573567757503</v>
      </c>
      <c r="AF156" s="399">
        <v>68619.990003584375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2159.8208709298424</v>
      </c>
      <c r="AM156" s="399"/>
      <c r="AN156" s="399">
        <v>138.96999859123147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2208.1218904370198</v>
      </c>
      <c r="BH156" s="399">
        <v>0</v>
      </c>
      <c r="BI156" s="399">
        <v>0</v>
      </c>
      <c r="BJ156" s="399">
        <v>0</v>
      </c>
      <c r="BK156" s="399">
        <v>0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70828.111894021393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104064.85119999999</v>
      </c>
      <c r="CJ156" s="399">
        <v>365.7763799999957</v>
      </c>
      <c r="CK156" s="399"/>
      <c r="CL156" s="399"/>
      <c r="CM156" s="399"/>
      <c r="CN156" s="399"/>
      <c r="CO156" s="399">
        <v>-2578.966700000004</v>
      </c>
      <c r="CP156" s="399">
        <v>2945.5599599999937</v>
      </c>
      <c r="CQ156" s="399">
        <v>30</v>
      </c>
      <c r="CR156" s="399">
        <v>5331.5204240380845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-67.88752625912457</v>
      </c>
      <c r="DA156" s="399">
        <v>0</v>
      </c>
      <c r="DB156" s="399">
        <v>0</v>
      </c>
      <c r="DC156" s="399">
        <v>2944.5100645687635</v>
      </c>
      <c r="DD156" s="399">
        <v>0</v>
      </c>
      <c r="DE156" s="399">
        <v>0</v>
      </c>
      <c r="DF156" s="399">
        <v>0</v>
      </c>
      <c r="DG156" s="399">
        <v>94.751356417371426</v>
      </c>
      <c r="DH156" s="399">
        <v>0</v>
      </c>
      <c r="DI156" s="399">
        <v>2029.0394881370303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314.54144368846755</v>
      </c>
      <c r="DP156" s="399">
        <v>16.565597485573022</v>
      </c>
      <c r="DQ156" s="399">
        <v>0</v>
      </c>
      <c r="DR156" s="399">
        <v>0</v>
      </c>
      <c r="DS156" s="399"/>
      <c r="DT156" s="399"/>
      <c r="DU156" s="399">
        <v>9608.3573567757503</v>
      </c>
      <c r="DV156" s="399">
        <v>0</v>
      </c>
      <c r="DW156" s="399">
        <v>0</v>
      </c>
      <c r="DX156" s="399">
        <v>0</v>
      </c>
      <c r="DY156" s="399">
        <v>-2578.9667000000045</v>
      </c>
      <c r="DZ156" s="399">
        <v>2945.5599599999841</v>
      </c>
      <c r="EA156" s="399">
        <v>0</v>
      </c>
      <c r="EB156" s="399">
        <v>0</v>
      </c>
      <c r="EC156" s="399">
        <v>-4967.3865510502392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232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157</v>
      </c>
      <c r="B157" s="399" t="s">
        <v>956</v>
      </c>
      <c r="C157" s="399" t="s">
        <v>2343</v>
      </c>
      <c r="D157" s="399" t="s">
        <v>533</v>
      </c>
      <c r="E157" s="399" t="s">
        <v>890</v>
      </c>
      <c r="F157" s="399" t="s">
        <v>1239</v>
      </c>
      <c r="G157" s="399" t="s">
        <v>1239</v>
      </c>
      <c r="H157" s="399" t="s">
        <v>1239</v>
      </c>
      <c r="I157" s="399" t="s">
        <v>1239</v>
      </c>
      <c r="J157" s="399" t="s">
        <v>2326</v>
      </c>
      <c r="K157" s="788">
        <v>44652</v>
      </c>
      <c r="L157" s="399">
        <v>0</v>
      </c>
      <c r="M157" s="399">
        <v>0</v>
      </c>
      <c r="N157" s="399">
        <v>0</v>
      </c>
      <c r="O157" s="399">
        <v>0</v>
      </c>
      <c r="P157" s="399">
        <v>0</v>
      </c>
      <c r="Q157" s="399">
        <v>0</v>
      </c>
      <c r="R157" s="399"/>
      <c r="S157" s="399"/>
      <c r="T157" s="399"/>
      <c r="U157" s="399"/>
      <c r="V157" s="399"/>
      <c r="W157" s="399"/>
      <c r="X157" s="399"/>
      <c r="Y157" s="399"/>
      <c r="Z157" s="399"/>
      <c r="AA157" s="399">
        <v>0</v>
      </c>
      <c r="AB157" s="399"/>
      <c r="AC157" s="399"/>
      <c r="AD157" s="399"/>
      <c r="AE157" s="399"/>
      <c r="AF157" s="399"/>
      <c r="AG157" s="399"/>
      <c r="AH157" s="399"/>
      <c r="AI157" s="399"/>
      <c r="AJ157" s="399"/>
      <c r="AK157" s="399"/>
      <c r="AL157" s="399"/>
      <c r="AM157" s="399"/>
      <c r="AN157" s="399"/>
      <c r="AO157" s="399"/>
      <c r="AP157" s="399"/>
      <c r="AQ157" s="399"/>
      <c r="AR157" s="399"/>
      <c r="AS157" s="399"/>
      <c r="AT157" s="399"/>
      <c r="AU157" s="399"/>
      <c r="AV157" s="399"/>
      <c r="AW157" s="399"/>
      <c r="AX157" s="399"/>
      <c r="AY157" s="399"/>
      <c r="AZ157" s="399">
        <v>0</v>
      </c>
      <c r="BA157" s="399"/>
      <c r="BB157" s="399"/>
      <c r="BC157" s="399"/>
      <c r="BD157" s="399"/>
      <c r="BE157" s="399"/>
      <c r="BF157" s="399"/>
      <c r="BG157" s="399"/>
      <c r="BH157" s="399"/>
      <c r="BI157" s="399">
        <v>0</v>
      </c>
      <c r="BJ157" s="399">
        <v>0</v>
      </c>
      <c r="BK157" s="399">
        <v>57063.199999999997</v>
      </c>
      <c r="BL157" s="399">
        <v>1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/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/>
      <c r="CJ157" s="399">
        <v>-0.03</v>
      </c>
      <c r="CK157" s="399"/>
      <c r="CL157" s="399"/>
      <c r="CM157" s="399"/>
      <c r="CN157" s="399"/>
      <c r="CO157" s="399">
        <v>0</v>
      </c>
      <c r="CP157" s="399">
        <v>0</v>
      </c>
      <c r="CQ157" s="399">
        <v>30</v>
      </c>
      <c r="CR157" s="399"/>
      <c r="CS157" s="399"/>
      <c r="CT157" s="399"/>
      <c r="CU157" s="399"/>
      <c r="CV157" s="399"/>
      <c r="CW157" s="399"/>
      <c r="CX157" s="399"/>
      <c r="CY157" s="399"/>
      <c r="CZ157" s="399"/>
      <c r="DA157" s="399"/>
      <c r="DB157" s="399"/>
      <c r="DC157" s="399"/>
      <c r="DD157" s="399"/>
      <c r="DE157" s="399"/>
      <c r="DF157" s="399"/>
      <c r="DG157" s="399"/>
      <c r="DH157" s="399"/>
      <c r="DI157" s="399"/>
      <c r="DJ157" s="399"/>
      <c r="DK157" s="399">
        <v>0</v>
      </c>
      <c r="DL157" s="399"/>
      <c r="DM157" s="399"/>
      <c r="DN157" s="399"/>
      <c r="DO157" s="399"/>
      <c r="DP157" s="399"/>
      <c r="DQ157" s="399"/>
      <c r="DR157" s="399"/>
      <c r="DS157" s="399"/>
      <c r="DT157" s="399"/>
      <c r="DU157" s="399"/>
      <c r="DV157" s="399"/>
      <c r="DW157" s="399"/>
      <c r="DX157" s="399"/>
      <c r="DY157" s="399"/>
      <c r="DZ157" s="399"/>
      <c r="EA157" s="399"/>
      <c r="EB157" s="399"/>
      <c r="EC157" s="399"/>
      <c r="ED157" s="399"/>
      <c r="EE157" s="399"/>
      <c r="EF157" s="399"/>
      <c r="EG157" s="399"/>
      <c r="EH157" s="399"/>
      <c r="EI157" s="399"/>
      <c r="EJ157" s="399"/>
      <c r="EK157" s="399"/>
      <c r="EL157" s="399"/>
      <c r="EM157" s="399"/>
      <c r="EN157" s="399"/>
      <c r="EO157" s="399"/>
      <c r="EP157" s="399"/>
      <c r="EQ157" s="399"/>
      <c r="ER157" s="399"/>
      <c r="ES157" s="399"/>
      <c r="ET157" s="399"/>
      <c r="EU157" s="399"/>
      <c r="EV157" s="399">
        <v>232</v>
      </c>
      <c r="EW157" s="399"/>
      <c r="EX157" s="399"/>
      <c r="EY157" s="399"/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158</v>
      </c>
      <c r="B158" s="399" t="s">
        <v>956</v>
      </c>
      <c r="C158" s="399" t="s">
        <v>2325</v>
      </c>
      <c r="D158" s="399" t="s">
        <v>533</v>
      </c>
      <c r="E158" s="399" t="s">
        <v>890</v>
      </c>
      <c r="F158" s="399" t="s">
        <v>1239</v>
      </c>
      <c r="G158" s="399" t="s">
        <v>1239</v>
      </c>
      <c r="H158" s="399" t="s">
        <v>1239</v>
      </c>
      <c r="I158" s="399" t="s">
        <v>893</v>
      </c>
      <c r="J158" s="399" t="s">
        <v>2326</v>
      </c>
      <c r="K158" s="788">
        <v>44652</v>
      </c>
      <c r="L158" s="399">
        <v>0</v>
      </c>
      <c r="M158" s="399">
        <v>0</v>
      </c>
      <c r="N158" s="399">
        <v>44.747999999999998</v>
      </c>
      <c r="O158" s="399">
        <v>44.747999999999998</v>
      </c>
      <c r="P158" s="399">
        <v>44.747999999999998</v>
      </c>
      <c r="Q158" s="399">
        <v>44.747999999999998</v>
      </c>
      <c r="R158" s="399"/>
      <c r="S158" s="399">
        <v>1962.25</v>
      </c>
      <c r="T158" s="399">
        <v>297.72000000000003</v>
      </c>
      <c r="U158" s="399"/>
      <c r="V158" s="399">
        <v>101129.13755999999</v>
      </c>
      <c r="W158" s="399">
        <v>101129.13755999999</v>
      </c>
      <c r="X158" s="399">
        <v>75168.137879999995</v>
      </c>
      <c r="Y158" s="399">
        <v>0</v>
      </c>
      <c r="Z158" s="399">
        <v>2359.6563660487736</v>
      </c>
      <c r="AA158" s="399">
        <v>0</v>
      </c>
      <c r="AB158" s="399">
        <v>0</v>
      </c>
      <c r="AC158" s="399">
        <v>0</v>
      </c>
      <c r="AD158" s="399">
        <v>32817.353112039054</v>
      </c>
      <c r="AE158" s="399">
        <v>51754.932843678427</v>
      </c>
      <c r="AF158" s="399">
        <v>13322.547151970191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419.32846960877021</v>
      </c>
      <c r="AM158" s="399"/>
      <c r="AN158" s="399">
        <v>26.98097680929715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428.70609571799861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13751.25324768819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75171.497499999998</v>
      </c>
      <c r="CJ158" s="399">
        <v>-25957.670059999975</v>
      </c>
      <c r="CK158" s="399"/>
      <c r="CL158" s="399"/>
      <c r="CM158" s="399"/>
      <c r="CN158" s="399"/>
      <c r="CO158" s="399">
        <v>-26532.879120000001</v>
      </c>
      <c r="CP158" s="399">
        <v>571.87943999999879</v>
      </c>
      <c r="CQ158" s="399">
        <v>30</v>
      </c>
      <c r="CR158" s="399">
        <v>795.3846388530219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-252.90853354177307</v>
      </c>
      <c r="DA158" s="399">
        <v>0</v>
      </c>
      <c r="DB158" s="399">
        <v>0</v>
      </c>
      <c r="DC158" s="399">
        <v>571.67560316780691</v>
      </c>
      <c r="DD158" s="399">
        <v>0</v>
      </c>
      <c r="DE158" s="399">
        <v>0</v>
      </c>
      <c r="DF158" s="399">
        <v>0</v>
      </c>
      <c r="DG158" s="399">
        <v>18.395942837030816</v>
      </c>
      <c r="DH158" s="399">
        <v>0</v>
      </c>
      <c r="DI158" s="399">
        <v>393.93730970382012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61.068111705779813</v>
      </c>
      <c r="DP158" s="399">
        <v>3.2162049803647186</v>
      </c>
      <c r="DQ158" s="399">
        <v>0</v>
      </c>
      <c r="DR158" s="399">
        <v>0</v>
      </c>
      <c r="DS158" s="399"/>
      <c r="DT158" s="399"/>
      <c r="DU158" s="399"/>
      <c r="DV158" s="399">
        <v>51754.932843678427</v>
      </c>
      <c r="DW158" s="399">
        <v>0</v>
      </c>
      <c r="DX158" s="399">
        <v>0</v>
      </c>
      <c r="DY158" s="399">
        <v>-26532.879119999998</v>
      </c>
      <c r="DZ158" s="399">
        <v>571.87943999999879</v>
      </c>
      <c r="EA158" s="399">
        <v>0</v>
      </c>
      <c r="EB158" s="399">
        <v>0</v>
      </c>
      <c r="EC158" s="399">
        <v>-26756.577405699874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232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159</v>
      </c>
      <c r="B159" s="399" t="s">
        <v>956</v>
      </c>
      <c r="C159" s="399" t="s">
        <v>2325</v>
      </c>
      <c r="D159" s="399" t="s">
        <v>533</v>
      </c>
      <c r="E159" s="399" t="s">
        <v>890</v>
      </c>
      <c r="F159" s="399" t="s">
        <v>1239</v>
      </c>
      <c r="G159" s="399" t="s">
        <v>1239</v>
      </c>
      <c r="H159" s="399" t="s">
        <v>1239</v>
      </c>
      <c r="I159" s="399" t="s">
        <v>2323</v>
      </c>
      <c r="J159" s="399" t="s">
        <v>2326</v>
      </c>
      <c r="K159" s="788">
        <v>44652</v>
      </c>
      <c r="L159" s="399">
        <v>0</v>
      </c>
      <c r="M159" s="399">
        <v>0</v>
      </c>
      <c r="N159" s="399">
        <v>640.12900000000002</v>
      </c>
      <c r="O159" s="399">
        <v>640.12900000000002</v>
      </c>
      <c r="P159" s="399">
        <v>640.12900000000002</v>
      </c>
      <c r="Q159" s="399">
        <v>640.12900000000002</v>
      </c>
      <c r="R159" s="399"/>
      <c r="S159" s="399">
        <v>72.290000000000006</v>
      </c>
      <c r="T159" s="399">
        <v>297.72000000000003</v>
      </c>
      <c r="U159" s="399"/>
      <c r="V159" s="399">
        <v>236854.13129000002</v>
      </c>
      <c r="W159" s="399">
        <v>236854.13129000002</v>
      </c>
      <c r="X159" s="399">
        <v>251852.35376</v>
      </c>
      <c r="Y159" s="399">
        <v>0</v>
      </c>
      <c r="Z159" s="399">
        <v>33755.351522804049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190581.67484230641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5998.576783815869</v>
      </c>
      <c r="AM159" s="399"/>
      <c r="AN159" s="399">
        <v>385.9682154276968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6132.725582056556</v>
      </c>
      <c r="BH159" s="399">
        <v>0</v>
      </c>
      <c r="BI159" s="399">
        <v>0</v>
      </c>
      <c r="BJ159" s="399">
        <v>0</v>
      </c>
      <c r="BK159" s="399">
        <v>0</v>
      </c>
      <c r="BL159" s="399">
        <v>0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196714.40042436298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251852.74719999998</v>
      </c>
      <c r="CJ159" s="399">
        <v>14998.585909999936</v>
      </c>
      <c r="CK159" s="399"/>
      <c r="CL159" s="399"/>
      <c r="CM159" s="399"/>
      <c r="CN159" s="399"/>
      <c r="CO159" s="399">
        <v>6817.3738499999945</v>
      </c>
      <c r="CP159" s="399">
        <v>8180.8486199999825</v>
      </c>
      <c r="CQ159" s="399">
        <v>30</v>
      </c>
      <c r="CR159" s="399">
        <v>14996.041390719387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0</v>
      </c>
      <c r="DA159" s="399">
        <v>0</v>
      </c>
      <c r="DB159" s="399">
        <v>0</v>
      </c>
      <c r="DC159" s="399">
        <v>8177.9326937562728</v>
      </c>
      <c r="DD159" s="399">
        <v>0</v>
      </c>
      <c r="DE159" s="399">
        <v>0</v>
      </c>
      <c r="DF159" s="399">
        <v>0</v>
      </c>
      <c r="DG159" s="399">
        <v>263.15760463765309</v>
      </c>
      <c r="DH159" s="399">
        <v>0</v>
      </c>
      <c r="DI159" s="399">
        <v>5635.3512139849117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873.59142929536756</v>
      </c>
      <c r="DP159" s="399">
        <v>46.008449045228588</v>
      </c>
      <c r="DQ159" s="399">
        <v>0</v>
      </c>
      <c r="DR159" s="399">
        <v>0</v>
      </c>
      <c r="DS159" s="399"/>
      <c r="DT159" s="399"/>
      <c r="DU159" s="399"/>
      <c r="DV159" s="399">
        <v>0</v>
      </c>
      <c r="DW159" s="399">
        <v>0</v>
      </c>
      <c r="DX159" s="399">
        <v>0</v>
      </c>
      <c r="DY159" s="399">
        <v>6817.3738499999963</v>
      </c>
      <c r="DZ159" s="399">
        <v>8180.8486199999752</v>
      </c>
      <c r="EA159" s="399">
        <v>0</v>
      </c>
      <c r="EB159" s="399">
        <v>0</v>
      </c>
      <c r="EC159" s="399">
        <v>0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232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160</v>
      </c>
      <c r="B160" s="399" t="s">
        <v>956</v>
      </c>
      <c r="C160" s="399" t="s">
        <v>2325</v>
      </c>
      <c r="D160" s="399" t="s">
        <v>533</v>
      </c>
      <c r="E160" s="399" t="s">
        <v>890</v>
      </c>
      <c r="F160" s="399" t="s">
        <v>1239</v>
      </c>
      <c r="G160" s="399" t="s">
        <v>1239</v>
      </c>
      <c r="H160" s="399" t="s">
        <v>1239</v>
      </c>
      <c r="I160" s="399" t="s">
        <v>1239</v>
      </c>
      <c r="J160" s="399" t="s">
        <v>2326</v>
      </c>
      <c r="K160" s="788">
        <v>44652</v>
      </c>
      <c r="L160" s="399">
        <v>3050</v>
      </c>
      <c r="M160" s="399">
        <v>3050</v>
      </c>
      <c r="N160" s="399">
        <v>0</v>
      </c>
      <c r="O160" s="399">
        <v>0</v>
      </c>
      <c r="P160" s="399">
        <v>0</v>
      </c>
      <c r="Q160" s="399">
        <v>0</v>
      </c>
      <c r="R160" s="399">
        <v>25.76</v>
      </c>
      <c r="S160" s="399"/>
      <c r="T160" s="399"/>
      <c r="U160" s="399">
        <v>78568</v>
      </c>
      <c r="V160" s="399"/>
      <c r="W160" s="399">
        <v>78568</v>
      </c>
      <c r="X160" s="399">
        <v>57096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37577.150830388644</v>
      </c>
      <c r="AE160" s="399">
        <v>40986.699214218235</v>
      </c>
      <c r="AF160" s="399"/>
      <c r="AG160" s="399"/>
      <c r="AH160" s="399"/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0</v>
      </c>
      <c r="AO160" s="399">
        <v>0</v>
      </c>
      <c r="AP160" s="399">
        <v>0</v>
      </c>
      <c r="AQ160" s="399">
        <v>0</v>
      </c>
      <c r="AR160" s="399">
        <v>0</v>
      </c>
      <c r="AS160" s="399"/>
      <c r="AT160" s="399"/>
      <c r="AU160" s="399">
        <v>0</v>
      </c>
      <c r="AV160" s="399">
        <v>0</v>
      </c>
      <c r="AW160" s="399">
        <v>0</v>
      </c>
      <c r="AX160" s="399"/>
      <c r="AY160" s="399"/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/>
      <c r="BG160" s="399">
        <v>0</v>
      </c>
      <c r="BH160" s="399">
        <v>0</v>
      </c>
      <c r="BI160" s="399">
        <v>0</v>
      </c>
      <c r="BJ160" s="399">
        <v>0</v>
      </c>
      <c r="BK160" s="399">
        <v>137121.74</v>
      </c>
      <c r="BL160" s="399">
        <v>3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0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57096</v>
      </c>
      <c r="CJ160" s="399">
        <v>-21472.029999999984</v>
      </c>
      <c r="CK160" s="399"/>
      <c r="CL160" s="399"/>
      <c r="CM160" s="399"/>
      <c r="CN160" s="399"/>
      <c r="CO160" s="399">
        <v>-21472.000000000007</v>
      </c>
      <c r="CP160" s="399">
        <v>0</v>
      </c>
      <c r="CQ160" s="399">
        <v>30</v>
      </c>
      <c r="CR160" s="399">
        <v>-289.59014697948442</v>
      </c>
      <c r="CS160" s="399">
        <v>0</v>
      </c>
      <c r="CT160" s="399">
        <v>0</v>
      </c>
      <c r="CU160" s="399">
        <v>0</v>
      </c>
      <c r="CV160" s="399">
        <v>0</v>
      </c>
      <c r="CW160" s="399"/>
      <c r="CX160" s="399"/>
      <c r="CY160" s="399"/>
      <c r="CZ160" s="399">
        <v>-289.59014697948442</v>
      </c>
      <c r="DA160" s="399">
        <v>0</v>
      </c>
      <c r="DB160" s="399">
        <v>0</v>
      </c>
      <c r="DC160" s="399"/>
      <c r="DD160" s="399"/>
      <c r="DE160" s="399">
        <v>0</v>
      </c>
      <c r="DF160" s="399">
        <v>0</v>
      </c>
      <c r="DG160" s="399">
        <v>0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/>
      <c r="DN160" s="399">
        <v>0</v>
      </c>
      <c r="DO160" s="399">
        <v>0</v>
      </c>
      <c r="DP160" s="399">
        <v>0</v>
      </c>
      <c r="DQ160" s="399">
        <v>0</v>
      </c>
      <c r="DR160" s="399">
        <v>0</v>
      </c>
      <c r="DS160" s="399"/>
      <c r="DT160" s="399"/>
      <c r="DU160" s="399">
        <v>40986.699214218235</v>
      </c>
      <c r="DV160" s="399"/>
      <c r="DW160" s="399">
        <v>0</v>
      </c>
      <c r="DX160" s="399">
        <v>0</v>
      </c>
      <c r="DY160" s="399">
        <v>-21472</v>
      </c>
      <c r="DZ160" s="399"/>
      <c r="EA160" s="399">
        <v>0</v>
      </c>
      <c r="EB160" s="399"/>
      <c r="EC160" s="399">
        <v>-21189.551021962558</v>
      </c>
      <c r="ED160" s="399"/>
      <c r="EE160" s="399">
        <v>0</v>
      </c>
      <c r="EF160" s="399">
        <v>0</v>
      </c>
      <c r="EG160" s="399"/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/>
      <c r="EN160" s="399"/>
      <c r="EO160" s="399">
        <v>0</v>
      </c>
      <c r="EP160" s="399">
        <v>0</v>
      </c>
      <c r="EQ160" s="399"/>
      <c r="ER160" s="399">
        <v>0</v>
      </c>
      <c r="ES160" s="399"/>
      <c r="ET160" s="399">
        <v>0</v>
      </c>
      <c r="EU160" s="399"/>
      <c r="EV160" s="399">
        <v>232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161</v>
      </c>
      <c r="B161" s="399" t="s">
        <v>956</v>
      </c>
      <c r="C161" s="399" t="s">
        <v>2328</v>
      </c>
      <c r="D161" s="399" t="s">
        <v>1824</v>
      </c>
      <c r="E161" s="399" t="s">
        <v>918</v>
      </c>
      <c r="F161" s="399" t="s">
        <v>1239</v>
      </c>
      <c r="G161" s="399" t="s">
        <v>1239</v>
      </c>
      <c r="H161" s="399" t="s">
        <v>1239</v>
      </c>
      <c r="I161" s="399" t="s">
        <v>1239</v>
      </c>
      <c r="J161" s="399" t="s">
        <v>2326</v>
      </c>
      <c r="K161" s="788">
        <v>44652</v>
      </c>
      <c r="L161" s="399">
        <v>0</v>
      </c>
      <c r="M161" s="399">
        <v>0</v>
      </c>
      <c r="N161" s="399">
        <v>22.893000000000001</v>
      </c>
      <c r="O161" s="399">
        <v>22.893000000000001</v>
      </c>
      <c r="P161" s="399">
        <v>22.893000000000001</v>
      </c>
      <c r="Q161" s="399">
        <v>22.893000000000001</v>
      </c>
      <c r="R161" s="399"/>
      <c r="S161" s="399">
        <v>395.23</v>
      </c>
      <c r="T161" s="399">
        <v>297.72000000000003</v>
      </c>
      <c r="U161" s="399"/>
      <c r="V161" s="399">
        <v>15863.704350000002</v>
      </c>
      <c r="W161" s="399">
        <v>15863.704350000002</v>
      </c>
      <c r="X161" s="399">
        <v>14059.735949999998</v>
      </c>
      <c r="Y161" s="399">
        <v>0</v>
      </c>
      <c r="Z161" s="399">
        <v>1387.5817782122551</v>
      </c>
      <c r="AA161" s="399">
        <v>0</v>
      </c>
      <c r="AB161" s="399">
        <v>0</v>
      </c>
      <c r="AC161" s="399">
        <v>0</v>
      </c>
      <c r="AD161" s="399">
        <v>2275.5070402192987</v>
      </c>
      <c r="AE161" s="399">
        <v>4581.9150667129716</v>
      </c>
      <c r="AF161" s="399">
        <v>6815.7922577557347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214.52772536769413</v>
      </c>
      <c r="AM161" s="399"/>
      <c r="AN161" s="399">
        <v>20.383628134958268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568.06240445044364</v>
      </c>
      <c r="BH161" s="399">
        <v>0</v>
      </c>
      <c r="BI161" s="399">
        <v>0</v>
      </c>
      <c r="BJ161" s="399">
        <v>0</v>
      </c>
      <c r="BK161" s="399">
        <v>4902.34</v>
      </c>
      <c r="BL161" s="399">
        <v>47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7383.8546622061785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14057.8935</v>
      </c>
      <c r="CJ161" s="399">
        <v>-1805.8408500000023</v>
      </c>
      <c r="CK161" s="399"/>
      <c r="CL161" s="399"/>
      <c r="CM161" s="399"/>
      <c r="CN161" s="399"/>
      <c r="CO161" s="399">
        <v>-2096.5409400000008</v>
      </c>
      <c r="CP161" s="399">
        <v>292.57253999999938</v>
      </c>
      <c r="CQ161" s="399">
        <v>30</v>
      </c>
      <c r="CR161" s="399">
        <v>564.63232424997113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-17.536306070791852</v>
      </c>
      <c r="DA161" s="399">
        <v>0</v>
      </c>
      <c r="DB161" s="399">
        <v>0</v>
      </c>
      <c r="DC161" s="399">
        <v>292.46825742649071</v>
      </c>
      <c r="DD161" s="399">
        <v>0</v>
      </c>
      <c r="DE161" s="399">
        <v>0</v>
      </c>
      <c r="DF161" s="399">
        <v>0</v>
      </c>
      <c r="DG161" s="399">
        <v>24.375775442695613</v>
      </c>
      <c r="DH161" s="399">
        <v>0</v>
      </c>
      <c r="DI161" s="399">
        <v>231.65247303288311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31.242341138831193</v>
      </c>
      <c r="DP161" s="399">
        <v>2.4297832798613044</v>
      </c>
      <c r="DQ161" s="399">
        <v>0</v>
      </c>
      <c r="DR161" s="399">
        <v>0</v>
      </c>
      <c r="DS161" s="399"/>
      <c r="DT161" s="399"/>
      <c r="DU161" s="399"/>
      <c r="DV161" s="399">
        <v>4581.9150667129716</v>
      </c>
      <c r="DW161" s="399">
        <v>0</v>
      </c>
      <c r="DX161" s="399">
        <v>0</v>
      </c>
      <c r="DY161" s="399">
        <v>-2096.5409400000017</v>
      </c>
      <c r="DZ161" s="399">
        <v>292.57253999999921</v>
      </c>
      <c r="EA161" s="399">
        <v>0</v>
      </c>
      <c r="EB161" s="399">
        <v>0</v>
      </c>
      <c r="EC161" s="399">
        <v>-2368.7860927023321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232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162</v>
      </c>
      <c r="B162" s="399" t="s">
        <v>956</v>
      </c>
      <c r="C162" s="399" t="s">
        <v>2328</v>
      </c>
      <c r="D162" s="399" t="s">
        <v>2335</v>
      </c>
      <c r="E162" s="399" t="s">
        <v>894</v>
      </c>
      <c r="F162" s="399" t="s">
        <v>1239</v>
      </c>
      <c r="G162" s="399" t="s">
        <v>1239</v>
      </c>
      <c r="H162" s="399" t="s">
        <v>1239</v>
      </c>
      <c r="I162" s="399" t="s">
        <v>1239</v>
      </c>
      <c r="J162" s="399" t="s">
        <v>2326</v>
      </c>
      <c r="K162" s="788">
        <v>44652</v>
      </c>
      <c r="L162" s="399">
        <v>0</v>
      </c>
      <c r="M162" s="399">
        <v>0</v>
      </c>
      <c r="N162" s="399">
        <v>404.09800000000001</v>
      </c>
      <c r="O162" s="399">
        <v>404.09800000000001</v>
      </c>
      <c r="P162" s="399">
        <v>404.09800000000001</v>
      </c>
      <c r="Q162" s="399">
        <v>404.09800000000001</v>
      </c>
      <c r="R162" s="399"/>
      <c r="S162" s="399">
        <v>395.23</v>
      </c>
      <c r="T162" s="399">
        <v>297.72000000000003</v>
      </c>
      <c r="U162" s="399"/>
      <c r="V162" s="399">
        <v>280019.70910000004</v>
      </c>
      <c r="W162" s="399">
        <v>280019.70910000004</v>
      </c>
      <c r="X162" s="399">
        <v>248176.7867</v>
      </c>
      <c r="Y162" s="399">
        <v>0</v>
      </c>
      <c r="Z162" s="399">
        <v>24493.033740095918</v>
      </c>
      <c r="AA162" s="399">
        <v>0</v>
      </c>
      <c r="AB162" s="399">
        <v>0</v>
      </c>
      <c r="AC162" s="399">
        <v>0</v>
      </c>
      <c r="AD162" s="399">
        <v>40166.332238611722</v>
      </c>
      <c r="AE162" s="399">
        <v>80878.116220179902</v>
      </c>
      <c r="AF162" s="399">
        <v>120309.61515636119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3786.7568586744624</v>
      </c>
      <c r="AM162" s="399"/>
      <c r="AN162" s="399">
        <v>359.80358022453879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10027.208383069732</v>
      </c>
      <c r="BH162" s="399">
        <v>0</v>
      </c>
      <c r="BI162" s="399">
        <v>0.71</v>
      </c>
      <c r="BJ162" s="399">
        <v>3.33</v>
      </c>
      <c r="BK162" s="399">
        <v>62830.18</v>
      </c>
      <c r="BL162" s="399">
        <v>950</v>
      </c>
      <c r="BM162" s="399"/>
      <c r="BN162" s="399"/>
      <c r="BO162" s="399"/>
      <c r="BP162" s="399"/>
      <c r="BQ162" s="399"/>
      <c r="BR162" s="399">
        <v>29782.022599999997</v>
      </c>
      <c r="BS162" s="399"/>
      <c r="BT162" s="399"/>
      <c r="BU162" s="399"/>
      <c r="BV162" s="399">
        <v>130336.82353943093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218395.84500000003</v>
      </c>
      <c r="CJ162" s="399">
        <v>-28023.145400000009</v>
      </c>
      <c r="CK162" s="399"/>
      <c r="CL162" s="399"/>
      <c r="CM162" s="399"/>
      <c r="CN162" s="399"/>
      <c r="CO162" s="399">
        <v>-37007.294840000017</v>
      </c>
      <c r="CP162" s="399">
        <v>5164.3724399999892</v>
      </c>
      <c r="CQ162" s="399">
        <v>30</v>
      </c>
      <c r="CR162" s="399">
        <v>9966.6619912097813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-309.54379987746506</v>
      </c>
      <c r="DA162" s="399">
        <v>0</v>
      </c>
      <c r="DB162" s="399">
        <v>0</v>
      </c>
      <c r="DC162" s="399">
        <v>5162.5316860844032</v>
      </c>
      <c r="DD162" s="399">
        <v>0</v>
      </c>
      <c r="DE162" s="399">
        <v>0</v>
      </c>
      <c r="DF162" s="399">
        <v>0</v>
      </c>
      <c r="DG162" s="399">
        <v>430.27135390042349</v>
      </c>
      <c r="DH162" s="399">
        <v>0</v>
      </c>
      <c r="DI162" s="399">
        <v>4089.0359956162138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551.47720130692369</v>
      </c>
      <c r="DP162" s="399">
        <v>42.889554179242282</v>
      </c>
      <c r="DQ162" s="399">
        <v>0</v>
      </c>
      <c r="DR162" s="399">
        <v>0</v>
      </c>
      <c r="DS162" s="399"/>
      <c r="DT162" s="399"/>
      <c r="DU162" s="399"/>
      <c r="DV162" s="399">
        <v>80878.116220179902</v>
      </c>
      <c r="DW162" s="399">
        <v>0</v>
      </c>
      <c r="DX162" s="399">
        <v>0</v>
      </c>
      <c r="DY162" s="399">
        <v>-37007.294840000017</v>
      </c>
      <c r="DZ162" s="399">
        <v>5164.3724399999919</v>
      </c>
      <c r="EA162" s="399">
        <v>0</v>
      </c>
      <c r="EB162" s="399">
        <v>0</v>
      </c>
      <c r="EC162" s="399">
        <v>-41812.856440345393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232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163</v>
      </c>
      <c r="B163" s="399" t="s">
        <v>2330</v>
      </c>
      <c r="C163" s="399" t="s">
        <v>2328</v>
      </c>
      <c r="D163" s="399" t="s">
        <v>2335</v>
      </c>
      <c r="E163" s="399" t="s">
        <v>894</v>
      </c>
      <c r="F163" s="399" t="s">
        <v>1239</v>
      </c>
      <c r="G163" s="399" t="s">
        <v>1239</v>
      </c>
      <c r="H163" s="399" t="s">
        <v>1239</v>
      </c>
      <c r="I163" s="399" t="s">
        <v>1239</v>
      </c>
      <c r="J163" s="399" t="s">
        <v>2326</v>
      </c>
      <c r="K163" s="788">
        <v>44652</v>
      </c>
      <c r="L163" s="399">
        <v>0</v>
      </c>
      <c r="M163" s="399">
        <v>0</v>
      </c>
      <c r="N163" s="399">
        <v>39.155999999999999</v>
      </c>
      <c r="O163" s="399">
        <v>39.155999999999999</v>
      </c>
      <c r="P163" s="399">
        <v>39.155999999999999</v>
      </c>
      <c r="Q163" s="399">
        <v>39.155999999999999</v>
      </c>
      <c r="R163" s="399"/>
      <c r="S163" s="399">
        <v>395.23</v>
      </c>
      <c r="T163" s="399">
        <v>297.72000000000003</v>
      </c>
      <c r="U163" s="399"/>
      <c r="V163" s="399">
        <v>27133.1502</v>
      </c>
      <c r="W163" s="399">
        <v>27133.1502</v>
      </c>
      <c r="X163" s="399">
        <v>24047.657399999996</v>
      </c>
      <c r="Y163" s="399">
        <v>0</v>
      </c>
      <c r="Z163" s="399">
        <v>2373.3085269592912</v>
      </c>
      <c r="AA163" s="399">
        <v>0</v>
      </c>
      <c r="AB163" s="399">
        <v>0</v>
      </c>
      <c r="AC163" s="399">
        <v>0</v>
      </c>
      <c r="AD163" s="399">
        <v>3892.0086343784933</v>
      </c>
      <c r="AE163" s="399">
        <v>7836.8700629979958</v>
      </c>
      <c r="AF163" s="399">
        <v>11657.675343759382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366.92646723878175</v>
      </c>
      <c r="AM163" s="399"/>
      <c r="AN163" s="399">
        <v>34.863990881598127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971.60929142801592</v>
      </c>
      <c r="BH163" s="399">
        <v>0</v>
      </c>
      <c r="BI163" s="399">
        <v>0</v>
      </c>
      <c r="BJ163" s="399">
        <v>0</v>
      </c>
      <c r="BK163" s="399">
        <v>14129.32</v>
      </c>
      <c r="BL163" s="399">
        <v>23</v>
      </c>
      <c r="BM163" s="399"/>
      <c r="BN163" s="399"/>
      <c r="BO163" s="399"/>
      <c r="BP163" s="399"/>
      <c r="BQ163" s="399"/>
      <c r="BR163" s="399">
        <v>2885.7971999999991</v>
      </c>
      <c r="BS163" s="399"/>
      <c r="BT163" s="399"/>
      <c r="BU163" s="399"/>
      <c r="BV163" s="399">
        <v>12629.284635187398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21164.021999999997</v>
      </c>
      <c r="CJ163" s="399">
        <v>-2713.3368000000009</v>
      </c>
      <c r="CK163" s="399"/>
      <c r="CL163" s="399"/>
      <c r="CM163" s="399"/>
      <c r="CN163" s="399"/>
      <c r="CO163" s="399">
        <v>-3585.9064800000015</v>
      </c>
      <c r="CP163" s="399">
        <v>500.41367999999892</v>
      </c>
      <c r="CQ163" s="399">
        <v>30</v>
      </c>
      <c r="CR163" s="399">
        <v>965.74251030148298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-29.993954506089722</v>
      </c>
      <c r="DA163" s="399">
        <v>0</v>
      </c>
      <c r="DB163" s="399">
        <v>0</v>
      </c>
      <c r="DC163" s="399">
        <v>500.23531593900771</v>
      </c>
      <c r="DD163" s="399">
        <v>0</v>
      </c>
      <c r="DE163" s="399">
        <v>0</v>
      </c>
      <c r="DF163" s="399">
        <v>0</v>
      </c>
      <c r="DG163" s="399">
        <v>41.692126992276712</v>
      </c>
      <c r="DH163" s="399">
        <v>0</v>
      </c>
      <c r="DI163" s="399">
        <v>396.21649561331287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53.436644809857796</v>
      </c>
      <c r="DP163" s="399">
        <v>4.1558814531188233</v>
      </c>
      <c r="DQ163" s="399">
        <v>0</v>
      </c>
      <c r="DR163" s="399">
        <v>0</v>
      </c>
      <c r="DS163" s="399"/>
      <c r="DT163" s="399"/>
      <c r="DU163" s="399"/>
      <c r="DV163" s="399">
        <v>7836.8700629979958</v>
      </c>
      <c r="DW163" s="399">
        <v>0</v>
      </c>
      <c r="DX163" s="399">
        <v>0</v>
      </c>
      <c r="DY163" s="399">
        <v>-3585.9064800000015</v>
      </c>
      <c r="DZ163" s="399">
        <v>500.41367999999966</v>
      </c>
      <c r="EA163" s="399">
        <v>0</v>
      </c>
      <c r="EB163" s="399">
        <v>0</v>
      </c>
      <c r="EC163" s="399">
        <v>-4051.5523629866129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232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164</v>
      </c>
      <c r="B164" s="399" t="s">
        <v>956</v>
      </c>
      <c r="C164" s="399" t="s">
        <v>2328</v>
      </c>
      <c r="D164" s="399" t="s">
        <v>1824</v>
      </c>
      <c r="E164" s="399" t="s">
        <v>2336</v>
      </c>
      <c r="F164" s="399" t="s">
        <v>1239</v>
      </c>
      <c r="G164" s="399" t="s">
        <v>1239</v>
      </c>
      <c r="H164" s="399" t="s">
        <v>1239</v>
      </c>
      <c r="I164" s="399" t="s">
        <v>1239</v>
      </c>
      <c r="J164" s="399" t="s">
        <v>2326</v>
      </c>
      <c r="K164" s="788">
        <v>44652</v>
      </c>
      <c r="L164" s="399">
        <v>0</v>
      </c>
      <c r="M164" s="399">
        <v>0</v>
      </c>
      <c r="N164" s="399">
        <v>0.84099999999999997</v>
      </c>
      <c r="O164" s="399">
        <v>0.84099999999999997</v>
      </c>
      <c r="P164" s="399">
        <v>0.84099999999999997</v>
      </c>
      <c r="Q164" s="399">
        <v>0.84099999999999997</v>
      </c>
      <c r="R164" s="399"/>
      <c r="S164" s="399">
        <v>395.23</v>
      </c>
      <c r="T164" s="399">
        <v>297.72000000000003</v>
      </c>
      <c r="U164" s="399"/>
      <c r="V164" s="399">
        <v>582.77095000000008</v>
      </c>
      <c r="W164" s="399">
        <v>582.77095000000008</v>
      </c>
      <c r="X164" s="399">
        <v>516.50014999999996</v>
      </c>
      <c r="Y164" s="399">
        <v>0</v>
      </c>
      <c r="Z164" s="399">
        <v>50.974371007579016</v>
      </c>
      <c r="AA164" s="399">
        <v>0</v>
      </c>
      <c r="AB164" s="399">
        <v>0</v>
      </c>
      <c r="AC164" s="399">
        <v>0</v>
      </c>
      <c r="AD164" s="399">
        <v>83.593300171424886</v>
      </c>
      <c r="AE164" s="399">
        <v>168.3217826892766</v>
      </c>
      <c r="AF164" s="399">
        <v>250.38576371696905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7.8809163077897502</v>
      </c>
      <c r="AM164" s="399"/>
      <c r="AN164" s="399">
        <v>0.74881541351067593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20.868408777478837</v>
      </c>
      <c r="BH164" s="399">
        <v>0</v>
      </c>
      <c r="BI164" s="399">
        <v>0</v>
      </c>
      <c r="BJ164" s="399">
        <v>0</v>
      </c>
      <c r="BK164" s="399">
        <v>188.03</v>
      </c>
      <c r="BL164" s="399">
        <v>17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271.25417249444791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515.88599999999997</v>
      </c>
      <c r="CJ164" s="399">
        <v>-66.91495000000009</v>
      </c>
      <c r="CK164" s="399"/>
      <c r="CL164" s="399"/>
      <c r="CM164" s="399"/>
      <c r="CN164" s="399"/>
      <c r="CO164" s="399">
        <v>-77.018780000000035</v>
      </c>
      <c r="CP164" s="399">
        <v>10.747979999999977</v>
      </c>
      <c r="CQ164" s="399">
        <v>30</v>
      </c>
      <c r="CR164" s="399">
        <v>20.74240093889955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-0.64421584788081532</v>
      </c>
      <c r="DA164" s="399">
        <v>0</v>
      </c>
      <c r="DB164" s="399">
        <v>0</v>
      </c>
      <c r="DC164" s="399">
        <v>10.744149062843633</v>
      </c>
      <c r="DD164" s="399">
        <v>0</v>
      </c>
      <c r="DE164" s="399">
        <v>0</v>
      </c>
      <c r="DF164" s="399">
        <v>0</v>
      </c>
      <c r="DG164" s="399">
        <v>0.89547141690940535</v>
      </c>
      <c r="DH164" s="399">
        <v>0</v>
      </c>
      <c r="DI164" s="399">
        <v>8.5100130966083398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1.1477223997622428</v>
      </c>
      <c r="DP164" s="399">
        <v>8.9260810656679124E-2</v>
      </c>
      <c r="DQ164" s="399">
        <v>0</v>
      </c>
      <c r="DR164" s="399">
        <v>0</v>
      </c>
      <c r="DS164" s="399"/>
      <c r="DT164" s="399"/>
      <c r="DU164" s="399"/>
      <c r="DV164" s="399">
        <v>168.3217826892766</v>
      </c>
      <c r="DW164" s="399">
        <v>0</v>
      </c>
      <c r="DX164" s="399">
        <v>0</v>
      </c>
      <c r="DY164" s="399">
        <v>-77.018780000000049</v>
      </c>
      <c r="DZ164" s="399">
        <v>10.747979999999956</v>
      </c>
      <c r="EA164" s="399">
        <v>0</v>
      </c>
      <c r="EB164" s="399">
        <v>0</v>
      </c>
      <c r="EC164" s="399">
        <v>-87.020010656648836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232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165</v>
      </c>
      <c r="B165" s="399" t="s">
        <v>956</v>
      </c>
      <c r="C165" s="399" t="s">
        <v>2328</v>
      </c>
      <c r="D165" s="399" t="s">
        <v>2337</v>
      </c>
      <c r="E165" s="399" t="s">
        <v>2338</v>
      </c>
      <c r="F165" s="399" t="s">
        <v>2339</v>
      </c>
      <c r="G165" s="399" t="s">
        <v>1239</v>
      </c>
      <c r="H165" s="399" t="s">
        <v>1239</v>
      </c>
      <c r="I165" s="399" t="s">
        <v>1239</v>
      </c>
      <c r="J165" s="399" t="s">
        <v>2326</v>
      </c>
      <c r="K165" s="788">
        <v>44652</v>
      </c>
      <c r="L165" s="399">
        <v>0</v>
      </c>
      <c r="M165" s="399">
        <v>0</v>
      </c>
      <c r="N165" s="399">
        <v>20.5</v>
      </c>
      <c r="O165" s="399">
        <v>20.5</v>
      </c>
      <c r="P165" s="399">
        <v>20.5</v>
      </c>
      <c r="Q165" s="399">
        <v>20.5</v>
      </c>
      <c r="R165" s="399"/>
      <c r="S165" s="399">
        <v>217.38</v>
      </c>
      <c r="T165" s="399">
        <v>163.75</v>
      </c>
      <c r="U165" s="399"/>
      <c r="V165" s="399">
        <v>7813.165</v>
      </c>
      <c r="W165" s="399">
        <v>7813.165</v>
      </c>
      <c r="X165" s="399">
        <v>6924.49</v>
      </c>
      <c r="Y165" s="399">
        <v>0</v>
      </c>
      <c r="Z165" s="399">
        <v>683.39599656415407</v>
      </c>
      <c r="AA165" s="399">
        <v>0</v>
      </c>
      <c r="AB165" s="399">
        <v>0</v>
      </c>
      <c r="AC165" s="399">
        <v>0</v>
      </c>
      <c r="AD165" s="399">
        <v>1120.7068483148817</v>
      </c>
      <c r="AE165" s="399">
        <v>2256.6326989555246</v>
      </c>
      <c r="AF165" s="399">
        <v>3356.83648740645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105.6567554938518</v>
      </c>
      <c r="AM165" s="399"/>
      <c r="AN165" s="399">
        <v>10.039112707886876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279.77563491804278</v>
      </c>
      <c r="BH165" s="399">
        <v>0</v>
      </c>
      <c r="BI165" s="399">
        <v>0</v>
      </c>
      <c r="BJ165" s="399">
        <v>0</v>
      </c>
      <c r="BK165" s="399">
        <v>2810.03</v>
      </c>
      <c r="BL165" s="399">
        <v>1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3636.6121223244927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6924.49</v>
      </c>
      <c r="CJ165" s="399">
        <v>-888.70500000000084</v>
      </c>
      <c r="CK165" s="399"/>
      <c r="CL165" s="399"/>
      <c r="CM165" s="399"/>
      <c r="CN165" s="399"/>
      <c r="CO165" s="399">
        <v>-1032.585</v>
      </c>
      <c r="CP165" s="399">
        <v>143.9100000000002</v>
      </c>
      <c r="CQ165" s="399">
        <v>30</v>
      </c>
      <c r="CR165" s="399">
        <v>278.08629082769949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-8.6367820271771052</v>
      </c>
      <c r="DA165" s="399">
        <v>0</v>
      </c>
      <c r="DB165" s="399">
        <v>0</v>
      </c>
      <c r="DC165" s="399">
        <v>144.04313993289634</v>
      </c>
      <c r="DD165" s="399">
        <v>0</v>
      </c>
      <c r="DE165" s="399">
        <v>0</v>
      </c>
      <c r="DF165" s="399">
        <v>0</v>
      </c>
      <c r="DG165" s="399">
        <v>12.005279697566664</v>
      </c>
      <c r="DH165" s="399">
        <v>0</v>
      </c>
      <c r="DI165" s="399">
        <v>114.09084145571751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15.387122541402746</v>
      </c>
      <c r="DP165" s="399">
        <v>1.1966892272937777</v>
      </c>
      <c r="DQ165" s="399">
        <v>0</v>
      </c>
      <c r="DR165" s="399">
        <v>0</v>
      </c>
      <c r="DS165" s="399"/>
      <c r="DT165" s="399"/>
      <c r="DU165" s="399"/>
      <c r="DV165" s="399">
        <v>2256.6326989555246</v>
      </c>
      <c r="DW165" s="399">
        <v>0</v>
      </c>
      <c r="DX165" s="399">
        <v>0</v>
      </c>
      <c r="DY165" s="399">
        <v>-1032.585</v>
      </c>
      <c r="DZ165" s="399">
        <v>143.91000000000031</v>
      </c>
      <c r="EA165" s="399">
        <v>0</v>
      </c>
      <c r="EB165" s="399">
        <v>0</v>
      </c>
      <c r="EC165" s="399">
        <v>-1166.647586389676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232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166</v>
      </c>
      <c r="B166" s="399" t="s">
        <v>956</v>
      </c>
      <c r="C166" s="399" t="s">
        <v>2328</v>
      </c>
      <c r="D166" s="399" t="s">
        <v>1824</v>
      </c>
      <c r="E166" s="399" t="s">
        <v>921</v>
      </c>
      <c r="F166" s="399" t="s">
        <v>2327</v>
      </c>
      <c r="G166" s="399" t="s">
        <v>1239</v>
      </c>
      <c r="H166" s="399" t="s">
        <v>1239</v>
      </c>
      <c r="I166" s="399" t="s">
        <v>1239</v>
      </c>
      <c r="J166" s="399" t="s">
        <v>2326</v>
      </c>
      <c r="K166" s="788">
        <v>44652</v>
      </c>
      <c r="L166" s="399">
        <v>0</v>
      </c>
      <c r="M166" s="399">
        <v>0</v>
      </c>
      <c r="N166" s="399">
        <v>0.309</v>
      </c>
      <c r="O166" s="399">
        <v>0.29046</v>
      </c>
      <c r="P166" s="399">
        <v>0.309</v>
      </c>
      <c r="Q166" s="399">
        <v>0.29046</v>
      </c>
      <c r="R166" s="399"/>
      <c r="S166" s="399">
        <v>395.23</v>
      </c>
      <c r="T166" s="399">
        <v>297.72000000000003</v>
      </c>
      <c r="U166" s="399"/>
      <c r="V166" s="399">
        <v>214.12155000000001</v>
      </c>
      <c r="W166" s="399">
        <v>214.12155000000001</v>
      </c>
      <c r="X166" s="399">
        <v>189.77235000000002</v>
      </c>
      <c r="Y166" s="399">
        <v>0</v>
      </c>
      <c r="Z166" s="399">
        <v>18.728990061048652</v>
      </c>
      <c r="AA166" s="399">
        <v>0</v>
      </c>
      <c r="AB166" s="399">
        <v>0</v>
      </c>
      <c r="AC166" s="399">
        <v>0</v>
      </c>
      <c r="AD166" s="399">
        <v>30.713828481534236</v>
      </c>
      <c r="AE166" s="399">
        <v>61.844745363836466</v>
      </c>
      <c r="AF166" s="399">
        <v>91.996671805640233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2.8956042082128812</v>
      </c>
      <c r="AM166" s="399"/>
      <c r="AN166" s="399">
        <v>0.27512956334696653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7.6674652939844963</v>
      </c>
      <c r="BH166" s="399">
        <v>0</v>
      </c>
      <c r="BI166" s="399">
        <v>0</v>
      </c>
      <c r="BJ166" s="399">
        <v>0</v>
      </c>
      <c r="BK166" s="399">
        <v>69.19</v>
      </c>
      <c r="BL166" s="399">
        <v>2</v>
      </c>
      <c r="BM166" s="399"/>
      <c r="BN166" s="399"/>
      <c r="BO166" s="399"/>
      <c r="BP166" s="399"/>
      <c r="BQ166" s="399">
        <v>11.386341000000002</v>
      </c>
      <c r="BR166" s="399"/>
      <c r="BS166" s="399"/>
      <c r="BT166" s="399"/>
      <c r="BU166" s="399"/>
      <c r="BV166" s="399">
        <v>99.664137099624725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178.10349999999997</v>
      </c>
      <c r="CJ166" s="399">
        <v>-23.200757000000038</v>
      </c>
      <c r="CK166" s="399"/>
      <c r="CL166" s="399"/>
      <c r="CM166" s="399"/>
      <c r="CN166" s="399"/>
      <c r="CO166" s="399">
        <v>-28.298220000000011</v>
      </c>
      <c r="CP166" s="399">
        <v>3.9490199999999915</v>
      </c>
      <c r="CQ166" s="399">
        <v>30</v>
      </c>
      <c r="CR166" s="399">
        <v>7.6211675268964711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-0.23669761830579716</v>
      </c>
      <c r="DA166" s="399">
        <v>0</v>
      </c>
      <c r="DB166" s="399">
        <v>0</v>
      </c>
      <c r="DC166" s="399">
        <v>3.9476124380721558</v>
      </c>
      <c r="DD166" s="399">
        <v>0</v>
      </c>
      <c r="DE166" s="399">
        <v>0</v>
      </c>
      <c r="DF166" s="399">
        <v>0</v>
      </c>
      <c r="DG166" s="399">
        <v>0.32901387375149405</v>
      </c>
      <c r="DH166" s="399">
        <v>0</v>
      </c>
      <c r="DI166" s="399">
        <v>3.1267467857930775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0.42169586388410574</v>
      </c>
      <c r="DP166" s="399">
        <v>3.2796183701443382E-2</v>
      </c>
      <c r="DQ166" s="399">
        <v>0</v>
      </c>
      <c r="DR166" s="399">
        <v>0</v>
      </c>
      <c r="DS166" s="399"/>
      <c r="DT166" s="399"/>
      <c r="DU166" s="399"/>
      <c r="DV166" s="399">
        <v>61.844745363836466</v>
      </c>
      <c r="DW166" s="399">
        <v>0</v>
      </c>
      <c r="DX166" s="399">
        <v>0</v>
      </c>
      <c r="DY166" s="399">
        <v>-28.298220000000001</v>
      </c>
      <c r="DZ166" s="399">
        <v>3.9490200000000044</v>
      </c>
      <c r="EA166" s="399">
        <v>0</v>
      </c>
      <c r="EB166" s="399">
        <v>0</v>
      </c>
      <c r="EC166" s="399">
        <v>-31.972869551610568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232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167</v>
      </c>
      <c r="B167" s="399" t="s">
        <v>956</v>
      </c>
      <c r="C167" s="399" t="s">
        <v>2328</v>
      </c>
      <c r="D167" s="399" t="s">
        <v>2335</v>
      </c>
      <c r="E167" s="399" t="s">
        <v>894</v>
      </c>
      <c r="F167" s="399" t="s">
        <v>2367</v>
      </c>
      <c r="G167" s="399" t="s">
        <v>2368</v>
      </c>
      <c r="H167" s="399" t="s">
        <v>1239</v>
      </c>
      <c r="I167" s="399" t="s">
        <v>1239</v>
      </c>
      <c r="J167" s="399" t="s">
        <v>2326</v>
      </c>
      <c r="K167" s="788">
        <v>44652</v>
      </c>
      <c r="L167" s="399">
        <v>0</v>
      </c>
      <c r="M167" s="399">
        <v>0</v>
      </c>
      <c r="N167" s="399">
        <v>0</v>
      </c>
      <c r="O167" s="399">
        <v>0</v>
      </c>
      <c r="P167" s="399">
        <v>0</v>
      </c>
      <c r="Q167" s="399">
        <v>0</v>
      </c>
      <c r="R167" s="399"/>
      <c r="S167" s="399"/>
      <c r="T167" s="399"/>
      <c r="U167" s="399"/>
      <c r="V167" s="399"/>
      <c r="W167" s="399"/>
      <c r="X167" s="399"/>
      <c r="Y167" s="399"/>
      <c r="Z167" s="399"/>
      <c r="AA167" s="399">
        <v>0</v>
      </c>
      <c r="AB167" s="399"/>
      <c r="AC167" s="399"/>
      <c r="AD167" s="399"/>
      <c r="AE167" s="399"/>
      <c r="AF167" s="399"/>
      <c r="AG167" s="399"/>
      <c r="AH167" s="399"/>
      <c r="AI167" s="399"/>
      <c r="AJ167" s="399"/>
      <c r="AK167" s="399"/>
      <c r="AL167" s="399"/>
      <c r="AM167" s="399"/>
      <c r="AN167" s="399"/>
      <c r="AO167" s="399"/>
      <c r="AP167" s="399"/>
      <c r="AQ167" s="399"/>
      <c r="AR167" s="399"/>
      <c r="AS167" s="399"/>
      <c r="AT167" s="399"/>
      <c r="AU167" s="399"/>
      <c r="AV167" s="399"/>
      <c r="AW167" s="399"/>
      <c r="AX167" s="399"/>
      <c r="AY167" s="399"/>
      <c r="AZ167" s="399">
        <v>0</v>
      </c>
      <c r="BA167" s="399"/>
      <c r="BB167" s="399"/>
      <c r="BC167" s="399"/>
      <c r="BD167" s="399"/>
      <c r="BE167" s="399"/>
      <c r="BF167" s="399"/>
      <c r="BG167" s="399"/>
      <c r="BH167" s="399"/>
      <c r="BI167" s="399">
        <v>0</v>
      </c>
      <c r="BJ167" s="399">
        <v>0</v>
      </c>
      <c r="BK167" s="399">
        <v>9.1199999999999992</v>
      </c>
      <c r="BL167" s="399">
        <v>1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/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/>
      <c r="CJ167" s="399">
        <v>-0.03</v>
      </c>
      <c r="CK167" s="399"/>
      <c r="CL167" s="399"/>
      <c r="CM167" s="399"/>
      <c r="CN167" s="399"/>
      <c r="CO167" s="399">
        <v>0</v>
      </c>
      <c r="CP167" s="399">
        <v>0</v>
      </c>
      <c r="CQ167" s="399">
        <v>30</v>
      </c>
      <c r="CR167" s="399"/>
      <c r="CS167" s="399"/>
      <c r="CT167" s="399"/>
      <c r="CU167" s="399"/>
      <c r="CV167" s="399"/>
      <c r="CW167" s="399"/>
      <c r="CX167" s="399"/>
      <c r="CY167" s="399"/>
      <c r="CZ167" s="399"/>
      <c r="DA167" s="399"/>
      <c r="DB167" s="399"/>
      <c r="DC167" s="399"/>
      <c r="DD167" s="399"/>
      <c r="DE167" s="399"/>
      <c r="DF167" s="399"/>
      <c r="DG167" s="399"/>
      <c r="DH167" s="399"/>
      <c r="DI167" s="399"/>
      <c r="DJ167" s="399"/>
      <c r="DK167" s="399">
        <v>0</v>
      </c>
      <c r="DL167" s="399"/>
      <c r="DM167" s="399"/>
      <c r="DN167" s="399"/>
      <c r="DO167" s="399"/>
      <c r="DP167" s="399"/>
      <c r="DQ167" s="399"/>
      <c r="DR167" s="399"/>
      <c r="DS167" s="399"/>
      <c r="DT167" s="399"/>
      <c r="DU167" s="399"/>
      <c r="DV167" s="399"/>
      <c r="DW167" s="399"/>
      <c r="DX167" s="399"/>
      <c r="DY167" s="399"/>
      <c r="DZ167" s="399"/>
      <c r="EA167" s="399"/>
      <c r="EB167" s="399"/>
      <c r="EC167" s="399"/>
      <c r="ED167" s="399"/>
      <c r="EE167" s="399"/>
      <c r="EF167" s="399"/>
      <c r="EG167" s="399"/>
      <c r="EH167" s="399"/>
      <c r="EI167" s="399"/>
      <c r="EJ167" s="399"/>
      <c r="EK167" s="399"/>
      <c r="EL167" s="399"/>
      <c r="EM167" s="399"/>
      <c r="EN167" s="399"/>
      <c r="EO167" s="399"/>
      <c r="EP167" s="399"/>
      <c r="EQ167" s="399"/>
      <c r="ER167" s="399"/>
      <c r="ES167" s="399"/>
      <c r="ET167" s="399"/>
      <c r="EU167" s="399"/>
      <c r="EV167" s="399">
        <v>232</v>
      </c>
      <c r="EW167" s="399"/>
      <c r="EX167" s="399"/>
      <c r="EY167" s="399"/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168</v>
      </c>
      <c r="B168" s="399" t="s">
        <v>956</v>
      </c>
      <c r="C168" s="399" t="s">
        <v>2328</v>
      </c>
      <c r="D168" s="399" t="s">
        <v>2335</v>
      </c>
      <c r="E168" s="399" t="s">
        <v>894</v>
      </c>
      <c r="F168" s="399" t="s">
        <v>2367</v>
      </c>
      <c r="G168" s="399" t="s">
        <v>2368</v>
      </c>
      <c r="H168" s="399" t="s">
        <v>1239</v>
      </c>
      <c r="I168" s="399" t="s">
        <v>1239</v>
      </c>
      <c r="J168" s="399" t="s">
        <v>2326</v>
      </c>
      <c r="K168" s="788">
        <v>44652</v>
      </c>
      <c r="L168" s="399">
        <v>0</v>
      </c>
      <c r="M168" s="399">
        <v>0</v>
      </c>
      <c r="N168" s="399">
        <v>9.6000000000000002E-2</v>
      </c>
      <c r="O168" s="399">
        <v>9.6000000000000002E-2</v>
      </c>
      <c r="P168" s="399">
        <v>9.6000000000000002E-2</v>
      </c>
      <c r="Q168" s="399">
        <v>9.6000000000000002E-2</v>
      </c>
      <c r="R168" s="399"/>
      <c r="S168" s="399">
        <v>395.23</v>
      </c>
      <c r="T168" s="399">
        <v>297.72000000000003</v>
      </c>
      <c r="U168" s="399"/>
      <c r="V168" s="399">
        <v>66.523200000000003</v>
      </c>
      <c r="W168" s="399">
        <v>66.523200000000003</v>
      </c>
      <c r="X168" s="399">
        <v>58.958399999999997</v>
      </c>
      <c r="Y168" s="399">
        <v>0</v>
      </c>
      <c r="Z168" s="399">
        <v>5.8187153587723968</v>
      </c>
      <c r="AA168" s="399">
        <v>0</v>
      </c>
      <c r="AB168" s="399">
        <v>0</v>
      </c>
      <c r="AC168" s="399">
        <v>0</v>
      </c>
      <c r="AD168" s="399">
        <v>9.5421603049426746</v>
      </c>
      <c r="AE168" s="399">
        <v>19.213901472259874</v>
      </c>
      <c r="AF168" s="399">
        <v>28.581490269713473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0.89960519090108926</v>
      </c>
      <c r="AM168" s="399"/>
      <c r="AN168" s="399">
        <v>8.5477145894203202E-2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2.3821251398786787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>
        <v>8.2415999999999965</v>
      </c>
      <c r="BS168" s="399"/>
      <c r="BT168" s="399"/>
      <c r="BU168" s="399"/>
      <c r="BV168" s="399">
        <v>30.963615409592151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52.83</v>
      </c>
      <c r="CJ168" s="399">
        <v>-4.2230400000000046</v>
      </c>
      <c r="CK168" s="399"/>
      <c r="CL168" s="399"/>
      <c r="CM168" s="399"/>
      <c r="CN168" s="399"/>
      <c r="CO168" s="399">
        <v>-8.7916800000000048</v>
      </c>
      <c r="CP168" s="399">
        <v>1.2268799999999973</v>
      </c>
      <c r="CQ168" s="399">
        <v>30</v>
      </c>
      <c r="CR168" s="399">
        <v>2.3677413675794838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-7.3537124133839171E-2</v>
      </c>
      <c r="DA168" s="399">
        <v>0</v>
      </c>
      <c r="DB168" s="399">
        <v>0</v>
      </c>
      <c r="DC168" s="399">
        <v>1.2264426992068813</v>
      </c>
      <c r="DD168" s="399">
        <v>0</v>
      </c>
      <c r="DE168" s="399">
        <v>0</v>
      </c>
      <c r="DF168" s="399">
        <v>0</v>
      </c>
      <c r="DG168" s="399">
        <v>0.10221790252473584</v>
      </c>
      <c r="DH168" s="399">
        <v>0</v>
      </c>
      <c r="DI168" s="399">
        <v>0.97141647713959678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0.13101230722612989</v>
      </c>
      <c r="DP168" s="399">
        <v>1.0189105615982408E-2</v>
      </c>
      <c r="DQ168" s="399">
        <v>0</v>
      </c>
      <c r="DR168" s="399">
        <v>0</v>
      </c>
      <c r="DS168" s="399"/>
      <c r="DT168" s="399"/>
      <c r="DU168" s="399"/>
      <c r="DV168" s="399">
        <v>19.213901472259874</v>
      </c>
      <c r="DW168" s="399">
        <v>0</v>
      </c>
      <c r="DX168" s="399">
        <v>0</v>
      </c>
      <c r="DY168" s="399">
        <v>-8.7916800000000066</v>
      </c>
      <c r="DZ168" s="399">
        <v>1.2268799999999978</v>
      </c>
      <c r="EA168" s="399">
        <v>0</v>
      </c>
      <c r="EB168" s="399">
        <v>0</v>
      </c>
      <c r="EC168" s="399">
        <v>-9.9333186956460011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232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169</v>
      </c>
      <c r="B169" s="399" t="s">
        <v>956</v>
      </c>
      <c r="C169" s="399" t="s">
        <v>2328</v>
      </c>
      <c r="D169" s="399" t="s">
        <v>2335</v>
      </c>
      <c r="E169" s="399" t="s">
        <v>894</v>
      </c>
      <c r="F169" s="399" t="s">
        <v>2367</v>
      </c>
      <c r="G169" s="399" t="s">
        <v>2369</v>
      </c>
      <c r="H169" s="399" t="s">
        <v>1239</v>
      </c>
      <c r="I169" s="399" t="s">
        <v>1239</v>
      </c>
      <c r="J169" s="399" t="s">
        <v>2326</v>
      </c>
      <c r="K169" s="788">
        <v>44652</v>
      </c>
      <c r="L169" s="399">
        <v>0</v>
      </c>
      <c r="M169" s="399">
        <v>0</v>
      </c>
      <c r="N169" s="399">
        <v>4.0000000000000001E-3</v>
      </c>
      <c r="O169" s="399">
        <v>1.6000000000000001E-3</v>
      </c>
      <c r="P169" s="399">
        <v>4.0000000000000001E-3</v>
      </c>
      <c r="Q169" s="399">
        <v>1.6000000000000001E-3</v>
      </c>
      <c r="R169" s="399"/>
      <c r="S169" s="399">
        <v>395.23</v>
      </c>
      <c r="T169" s="399">
        <v>297.72000000000003</v>
      </c>
      <c r="U169" s="399"/>
      <c r="V169" s="399">
        <v>2.7718000000000003</v>
      </c>
      <c r="W169" s="399">
        <v>2.7718000000000003</v>
      </c>
      <c r="X169" s="399">
        <v>2.4565999999999999</v>
      </c>
      <c r="Y169" s="399">
        <v>0</v>
      </c>
      <c r="Z169" s="399">
        <v>0.24244647328218322</v>
      </c>
      <c r="AA169" s="399">
        <v>0</v>
      </c>
      <c r="AB169" s="399">
        <v>0</v>
      </c>
      <c r="AC169" s="399">
        <v>0</v>
      </c>
      <c r="AD169" s="399">
        <v>0.3975900127059448</v>
      </c>
      <c r="AE169" s="399">
        <v>0.80057922801082804</v>
      </c>
      <c r="AF169" s="399">
        <v>1.1908954279047279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3.7483549620878721E-2</v>
      </c>
      <c r="AM169" s="399"/>
      <c r="AN169" s="399">
        <v>3.5615477455918001E-3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9.9255214161611607E-2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>
        <v>1.6113200000000001</v>
      </c>
      <c r="BT169" s="399"/>
      <c r="BU169" s="399"/>
      <c r="BV169" s="399">
        <v>1.2901506420663396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0</v>
      </c>
      <c r="CJ169" s="399">
        <v>-0.98038400000000003</v>
      </c>
      <c r="CK169" s="399"/>
      <c r="CL169" s="399"/>
      <c r="CM169" s="399"/>
      <c r="CN169" s="399"/>
      <c r="CO169" s="399">
        <v>-0.36632000000000015</v>
      </c>
      <c r="CP169" s="399">
        <v>5.1119999999999895E-2</v>
      </c>
      <c r="CQ169" s="399">
        <v>30</v>
      </c>
      <c r="CR169" s="399">
        <v>9.8655890315812123E-2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-3.064046838909984E-3</v>
      </c>
      <c r="DA169" s="399">
        <v>0</v>
      </c>
      <c r="DB169" s="399">
        <v>0</v>
      </c>
      <c r="DC169" s="399">
        <v>5.1101779133620129E-2</v>
      </c>
      <c r="DD169" s="399">
        <v>0</v>
      </c>
      <c r="DE169" s="399">
        <v>0</v>
      </c>
      <c r="DF169" s="399">
        <v>0</v>
      </c>
      <c r="DG169" s="399">
        <v>4.2590792718639886E-3</v>
      </c>
      <c r="DH169" s="399">
        <v>0</v>
      </c>
      <c r="DI169" s="399">
        <v>4.0475686547483181E-2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5.4588461344220809E-3</v>
      </c>
      <c r="DP169" s="399">
        <v>4.2454606733260004E-4</v>
      </c>
      <c r="DQ169" s="399">
        <v>0</v>
      </c>
      <c r="DR169" s="399">
        <v>0</v>
      </c>
      <c r="DS169" s="399"/>
      <c r="DT169" s="399"/>
      <c r="DU169" s="399"/>
      <c r="DV169" s="399">
        <v>0.80057922801082804</v>
      </c>
      <c r="DW169" s="399">
        <v>0</v>
      </c>
      <c r="DX169" s="399">
        <v>0</v>
      </c>
      <c r="DY169" s="399">
        <v>-0.3663200000000002</v>
      </c>
      <c r="DZ169" s="399">
        <v>5.1119999999999832E-2</v>
      </c>
      <c r="EA169" s="399">
        <v>0</v>
      </c>
      <c r="EB169" s="399">
        <v>0</v>
      </c>
      <c r="EC169" s="399">
        <v>-0.41388827898525005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232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170</v>
      </c>
      <c r="B170" s="399" t="s">
        <v>956</v>
      </c>
      <c r="C170" s="399" t="s">
        <v>2328</v>
      </c>
      <c r="D170" s="399" t="s">
        <v>1821</v>
      </c>
      <c r="E170" s="399" t="s">
        <v>889</v>
      </c>
      <c r="F170" s="399" t="s">
        <v>889</v>
      </c>
      <c r="G170" s="399" t="s">
        <v>1239</v>
      </c>
      <c r="H170" s="399" t="s">
        <v>1239</v>
      </c>
      <c r="I170" s="399" t="s">
        <v>1239</v>
      </c>
      <c r="J170" s="399" t="s">
        <v>2326</v>
      </c>
      <c r="K170" s="788">
        <v>44682</v>
      </c>
      <c r="L170" s="399">
        <v>0</v>
      </c>
      <c r="M170" s="399">
        <v>0</v>
      </c>
      <c r="N170" s="399">
        <v>34.506999999999998</v>
      </c>
      <c r="O170" s="399">
        <v>34.506999999999998</v>
      </c>
      <c r="P170" s="399">
        <v>34.506999999999998</v>
      </c>
      <c r="Q170" s="399">
        <v>34.506999999999998</v>
      </c>
      <c r="R170" s="399"/>
      <c r="S170" s="399">
        <v>395.23</v>
      </c>
      <c r="T170" s="399">
        <v>297.72000000000003</v>
      </c>
      <c r="U170" s="399"/>
      <c r="V170" s="399">
        <v>23911.625650000002</v>
      </c>
      <c r="W170" s="399">
        <v>23911.625650000002</v>
      </c>
      <c r="X170" s="399">
        <v>21192.474049999997</v>
      </c>
      <c r="Y170" s="399">
        <v>0</v>
      </c>
      <c r="Z170" s="399">
        <v>2091.5251133870738</v>
      </c>
      <c r="AA170" s="399">
        <v>0</v>
      </c>
      <c r="AB170" s="399">
        <v>0</v>
      </c>
      <c r="AC170" s="399">
        <v>0</v>
      </c>
      <c r="AD170" s="399">
        <v>3429.9096421110089</v>
      </c>
      <c r="AE170" s="399">
        <v>6906.3968552424103</v>
      </c>
      <c r="AF170" s="399">
        <v>10273.557132677111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323.36121169191546</v>
      </c>
      <c r="AM170" s="399"/>
      <c r="AN170" s="399">
        <v>30.724582014284056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856.24991876868285</v>
      </c>
      <c r="BH170" s="399">
        <v>0</v>
      </c>
      <c r="BI170" s="399">
        <v>0</v>
      </c>
      <c r="BJ170" s="399">
        <v>0</v>
      </c>
      <c r="BK170" s="399">
        <v>3898.7</v>
      </c>
      <c r="BL170" s="399">
        <v>261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11129.807051445794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21194.316500000001</v>
      </c>
      <c r="CJ170" s="399">
        <v>-2717.3391499999962</v>
      </c>
      <c r="CK170" s="399"/>
      <c r="CL170" s="399"/>
      <c r="CM170" s="399"/>
      <c r="CN170" s="399"/>
      <c r="CO170" s="399">
        <v>-3160.1510600000011</v>
      </c>
      <c r="CP170" s="399">
        <v>440.99945999999903</v>
      </c>
      <c r="CQ170" s="399">
        <v>31</v>
      </c>
      <c r="CR170" s="399">
        <v>851.079701781935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-26.432766067566718</v>
      </c>
      <c r="DA170" s="399">
        <v>0</v>
      </c>
      <c r="DB170" s="399">
        <v>0</v>
      </c>
      <c r="DC170" s="399">
        <v>440.84227314095733</v>
      </c>
      <c r="DD170" s="399">
        <v>0</v>
      </c>
      <c r="DE170" s="399">
        <v>0</v>
      </c>
      <c r="DF170" s="399">
        <v>0</v>
      </c>
      <c r="DG170" s="399">
        <v>36.742012108552785</v>
      </c>
      <c r="DH170" s="399">
        <v>0</v>
      </c>
      <c r="DI170" s="399">
        <v>349.17362892350047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47.092100890125721</v>
      </c>
      <c r="DP170" s="399">
        <v>3.6624527863615093</v>
      </c>
      <c r="DQ170" s="399">
        <v>0</v>
      </c>
      <c r="DR170" s="399">
        <v>0</v>
      </c>
      <c r="DS170" s="399"/>
      <c r="DT170" s="399"/>
      <c r="DU170" s="399"/>
      <c r="DV170" s="399">
        <v>6906.3968552424103</v>
      </c>
      <c r="DW170" s="399">
        <v>0</v>
      </c>
      <c r="DX170" s="399">
        <v>0</v>
      </c>
      <c r="DY170" s="399">
        <v>-3160.151060000002</v>
      </c>
      <c r="DZ170" s="399">
        <v>440.99945999999909</v>
      </c>
      <c r="EA170" s="399">
        <v>0</v>
      </c>
      <c r="EB170" s="399">
        <v>0</v>
      </c>
      <c r="EC170" s="399">
        <v>-3570.5107107360054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232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171</v>
      </c>
      <c r="B171" s="399" t="s">
        <v>2330</v>
      </c>
      <c r="C171" s="399" t="s">
        <v>2328</v>
      </c>
      <c r="D171" s="399" t="s">
        <v>1821</v>
      </c>
      <c r="E171" s="399" t="s">
        <v>889</v>
      </c>
      <c r="F171" s="399" t="s">
        <v>889</v>
      </c>
      <c r="G171" s="399" t="s">
        <v>1239</v>
      </c>
      <c r="H171" s="399" t="s">
        <v>1239</v>
      </c>
      <c r="I171" s="399" t="s">
        <v>1239</v>
      </c>
      <c r="J171" s="399" t="s">
        <v>2326</v>
      </c>
      <c r="K171" s="788">
        <v>44682</v>
      </c>
      <c r="L171" s="399">
        <v>0</v>
      </c>
      <c r="M171" s="399">
        <v>0</v>
      </c>
      <c r="N171" s="399">
        <v>0.1</v>
      </c>
      <c r="O171" s="399">
        <v>0.1</v>
      </c>
      <c r="P171" s="399">
        <v>0.1</v>
      </c>
      <c r="Q171" s="399">
        <v>0.1</v>
      </c>
      <c r="R171" s="399"/>
      <c r="S171" s="399">
        <v>395.23</v>
      </c>
      <c r="T171" s="399">
        <v>297.72000000000003</v>
      </c>
      <c r="U171" s="399"/>
      <c r="V171" s="399">
        <v>69.295000000000016</v>
      </c>
      <c r="W171" s="399">
        <v>69.295000000000016</v>
      </c>
      <c r="X171" s="399">
        <v>61.414999999999999</v>
      </c>
      <c r="Y171" s="399">
        <v>0</v>
      </c>
      <c r="Z171" s="399">
        <v>6.0611618320545801</v>
      </c>
      <c r="AA171" s="399">
        <v>0</v>
      </c>
      <c r="AB171" s="399">
        <v>0</v>
      </c>
      <c r="AC171" s="399">
        <v>0</v>
      </c>
      <c r="AD171" s="399">
        <v>9.9397503176486204</v>
      </c>
      <c r="AE171" s="399">
        <v>20.014480700270703</v>
      </c>
      <c r="AF171" s="399">
        <v>29.772385697618201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0.937088740521968</v>
      </c>
      <c r="AM171" s="399"/>
      <c r="AN171" s="399">
        <v>8.9038693639794997E-2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2.4813803540402901</v>
      </c>
      <c r="BH171" s="399">
        <v>0</v>
      </c>
      <c r="BI171" s="399">
        <v>0</v>
      </c>
      <c r="BJ171" s="399">
        <v>0</v>
      </c>
      <c r="BK171" s="399">
        <v>32.520000000000003</v>
      </c>
      <c r="BL171" s="399">
        <v>1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32.253766051658488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61.414999999999999</v>
      </c>
      <c r="CJ171" s="399">
        <v>-7.9100000000000037</v>
      </c>
      <c r="CK171" s="399"/>
      <c r="CL171" s="399"/>
      <c r="CM171" s="399"/>
      <c r="CN171" s="399"/>
      <c r="CO171" s="399">
        <v>-9.1580000000000048</v>
      </c>
      <c r="CP171" s="399">
        <v>1.2779999999999974</v>
      </c>
      <c r="CQ171" s="399">
        <v>31</v>
      </c>
      <c r="CR171" s="399">
        <v>2.4663972578952951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-7.6601170972748989E-2</v>
      </c>
      <c r="DA171" s="399">
        <v>0</v>
      </c>
      <c r="DB171" s="399">
        <v>0</v>
      </c>
      <c r="DC171" s="399">
        <v>1.2775444783405021</v>
      </c>
      <c r="DD171" s="399">
        <v>0</v>
      </c>
      <c r="DE171" s="399">
        <v>0</v>
      </c>
      <c r="DF171" s="399">
        <v>0</v>
      </c>
      <c r="DG171" s="399">
        <v>0.10647698179660026</v>
      </c>
      <c r="DH171" s="399">
        <v>0</v>
      </c>
      <c r="DI171" s="399">
        <v>1.0118921636870795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0.13647115336055216</v>
      </c>
      <c r="DP171" s="399">
        <v>1.0613651683315017E-2</v>
      </c>
      <c r="DQ171" s="399">
        <v>0</v>
      </c>
      <c r="DR171" s="399">
        <v>0</v>
      </c>
      <c r="DS171" s="399"/>
      <c r="DT171" s="399"/>
      <c r="DU171" s="399"/>
      <c r="DV171" s="399">
        <v>20.014480700270703</v>
      </c>
      <c r="DW171" s="399">
        <v>0</v>
      </c>
      <c r="DX171" s="399">
        <v>0</v>
      </c>
      <c r="DY171" s="399">
        <v>-9.1580000000000048</v>
      </c>
      <c r="DZ171" s="399">
        <v>1.2779999999999951</v>
      </c>
      <c r="EA171" s="399">
        <v>0</v>
      </c>
      <c r="EB171" s="399">
        <v>0</v>
      </c>
      <c r="EC171" s="399">
        <v>-10.347206974631252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232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172</v>
      </c>
      <c r="B172" s="399" t="s">
        <v>956</v>
      </c>
      <c r="C172" s="399" t="s">
        <v>2328</v>
      </c>
      <c r="D172" s="399" t="s">
        <v>1821</v>
      </c>
      <c r="E172" s="399" t="s">
        <v>889</v>
      </c>
      <c r="F172" s="399" t="s">
        <v>2331</v>
      </c>
      <c r="G172" s="399" t="s">
        <v>1239</v>
      </c>
      <c r="H172" s="399" t="s">
        <v>1239</v>
      </c>
      <c r="I172" s="399" t="s">
        <v>1239</v>
      </c>
      <c r="J172" s="399" t="s">
        <v>2326</v>
      </c>
      <c r="K172" s="788">
        <v>44682</v>
      </c>
      <c r="L172" s="399">
        <v>0</v>
      </c>
      <c r="M172" s="399">
        <v>0</v>
      </c>
      <c r="N172" s="399">
        <v>0.3</v>
      </c>
      <c r="O172" s="399">
        <v>0.3</v>
      </c>
      <c r="P172" s="399">
        <v>0.3</v>
      </c>
      <c r="Q172" s="399">
        <v>0.3</v>
      </c>
      <c r="R172" s="399"/>
      <c r="S172" s="399">
        <v>325.25</v>
      </c>
      <c r="T172" s="399">
        <v>297.72000000000003</v>
      </c>
      <c r="U172" s="399"/>
      <c r="V172" s="399">
        <v>186.89100000000002</v>
      </c>
      <c r="W172" s="399">
        <v>186.89100000000002</v>
      </c>
      <c r="X172" s="399">
        <v>159.80399999999997</v>
      </c>
      <c r="Y172" s="399">
        <v>0</v>
      </c>
      <c r="Z172" s="399">
        <v>0</v>
      </c>
      <c r="AA172" s="399">
        <v>0</v>
      </c>
      <c r="AB172" s="399">
        <v>0</v>
      </c>
      <c r="AC172" s="399">
        <v>0</v>
      </c>
      <c r="AD172" s="399">
        <v>29.819250952945858</v>
      </c>
      <c r="AE172" s="399">
        <v>60.043442100812101</v>
      </c>
      <c r="AF172" s="399">
        <v>89.3171570928546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0</v>
      </c>
      <c r="AM172" s="399"/>
      <c r="AN172" s="399">
        <v>0.26711608091938499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7.4441410621208703</v>
      </c>
      <c r="BH172" s="399">
        <v>0</v>
      </c>
      <c r="BI172" s="399">
        <v>0</v>
      </c>
      <c r="BJ172" s="399">
        <v>0</v>
      </c>
      <c r="BK172" s="399">
        <v>7.3</v>
      </c>
      <c r="BL172" s="399">
        <v>2</v>
      </c>
      <c r="BM172" s="399"/>
      <c r="BN172" s="399"/>
      <c r="BO172" s="399"/>
      <c r="BP172" s="399"/>
      <c r="BQ172" s="399"/>
      <c r="BR172" s="399"/>
      <c r="BS172" s="399"/>
      <c r="BT172" s="399">
        <v>103.875</v>
      </c>
      <c r="BU172" s="399"/>
      <c r="BV172" s="399">
        <v>96.761298154975464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55.929000000000002</v>
      </c>
      <c r="CJ172" s="399">
        <v>-9.512999999999991</v>
      </c>
      <c r="CK172" s="399"/>
      <c r="CL172" s="399"/>
      <c r="CM172" s="399"/>
      <c r="CN172" s="399"/>
      <c r="CO172" s="399">
        <v>-30.920999999999996</v>
      </c>
      <c r="CP172" s="399">
        <v>3.8339999999999916</v>
      </c>
      <c r="CQ172" s="399">
        <v>31</v>
      </c>
      <c r="CR172" s="399">
        <v>3.9541018225430093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-0.22980351291824874</v>
      </c>
      <c r="DA172" s="399">
        <v>0</v>
      </c>
      <c r="DB172" s="399">
        <v>0</v>
      </c>
      <c r="DC172" s="399">
        <v>3.8326334350215063</v>
      </c>
      <c r="DD172" s="399">
        <v>0</v>
      </c>
      <c r="DE172" s="399">
        <v>0</v>
      </c>
      <c r="DF172" s="399">
        <v>0</v>
      </c>
      <c r="DG172" s="399">
        <v>0.31943094538979899</v>
      </c>
      <c r="DH172" s="399">
        <v>0</v>
      </c>
      <c r="DI172" s="399">
        <v>0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0</v>
      </c>
      <c r="DP172" s="399">
        <v>3.1840955049944997E-2</v>
      </c>
      <c r="DQ172" s="399">
        <v>0</v>
      </c>
      <c r="DR172" s="399">
        <v>0</v>
      </c>
      <c r="DS172" s="399"/>
      <c r="DT172" s="399"/>
      <c r="DU172" s="399"/>
      <c r="DV172" s="399">
        <v>60.043442100812101</v>
      </c>
      <c r="DW172" s="399">
        <v>0</v>
      </c>
      <c r="DX172" s="399">
        <v>0</v>
      </c>
      <c r="DY172" s="399">
        <v>-30.921000000000006</v>
      </c>
      <c r="DZ172" s="399">
        <v>3.833999999999989</v>
      </c>
      <c r="EA172" s="399">
        <v>0</v>
      </c>
      <c r="EB172" s="399">
        <v>0</v>
      </c>
      <c r="EC172" s="399">
        <v>-31.041620923893753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232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173</v>
      </c>
      <c r="B173" s="399" t="s">
        <v>956</v>
      </c>
      <c r="C173" s="399" t="s">
        <v>2328</v>
      </c>
      <c r="D173" s="399" t="s">
        <v>1821</v>
      </c>
      <c r="E173" s="399" t="s">
        <v>889</v>
      </c>
      <c r="F173" s="399" t="s">
        <v>2332</v>
      </c>
      <c r="G173" s="399" t="s">
        <v>1239</v>
      </c>
      <c r="H173" s="399" t="s">
        <v>1239</v>
      </c>
      <c r="I173" s="399" t="s">
        <v>1239</v>
      </c>
      <c r="J173" s="399" t="s">
        <v>2326</v>
      </c>
      <c r="K173" s="788">
        <v>44682</v>
      </c>
      <c r="L173" s="399">
        <v>0</v>
      </c>
      <c r="M173" s="399">
        <v>0</v>
      </c>
      <c r="N173" s="399">
        <v>0.495</v>
      </c>
      <c r="O173" s="399">
        <v>0.495</v>
      </c>
      <c r="P173" s="399">
        <v>0.495</v>
      </c>
      <c r="Q173" s="399">
        <v>0.495</v>
      </c>
      <c r="R173" s="399"/>
      <c r="S173" s="399">
        <v>325.25</v>
      </c>
      <c r="T173" s="399">
        <v>297.72000000000003</v>
      </c>
      <c r="U173" s="399"/>
      <c r="V173" s="399">
        <v>308.37015000000002</v>
      </c>
      <c r="W173" s="399">
        <v>308.37015000000002</v>
      </c>
      <c r="X173" s="399">
        <v>263.67660000000001</v>
      </c>
      <c r="Y173" s="399">
        <v>0</v>
      </c>
      <c r="Z173" s="399">
        <v>0</v>
      </c>
      <c r="AA173" s="399">
        <v>0</v>
      </c>
      <c r="AB173" s="399">
        <v>0</v>
      </c>
      <c r="AC173" s="399">
        <v>0</v>
      </c>
      <c r="AD173" s="399">
        <v>49.201764072360668</v>
      </c>
      <c r="AE173" s="399">
        <v>99.071679466339972</v>
      </c>
      <c r="AF173" s="399">
        <v>147.37330920321008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0</v>
      </c>
      <c r="AM173" s="399"/>
      <c r="AN173" s="399">
        <v>0.44074153351698525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12.282832752499436</v>
      </c>
      <c r="BH173" s="399">
        <v>0</v>
      </c>
      <c r="BI173" s="399">
        <v>0</v>
      </c>
      <c r="BJ173" s="399">
        <v>0</v>
      </c>
      <c r="BK173" s="399">
        <v>20.93</v>
      </c>
      <c r="BL173" s="399">
        <v>1</v>
      </c>
      <c r="BM173" s="399"/>
      <c r="BN173" s="399"/>
      <c r="BO173" s="399"/>
      <c r="BP173" s="399"/>
      <c r="BQ173" s="399"/>
      <c r="BR173" s="399"/>
      <c r="BS173" s="399"/>
      <c r="BT173" s="399">
        <v>105.46965</v>
      </c>
      <c r="BU173" s="399"/>
      <c r="BV173" s="399">
        <v>159.65614195570953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159.80500000000001</v>
      </c>
      <c r="CJ173" s="399">
        <v>-25.246099999999984</v>
      </c>
      <c r="CK173" s="399"/>
      <c r="CL173" s="399"/>
      <c r="CM173" s="399"/>
      <c r="CN173" s="399"/>
      <c r="CO173" s="399">
        <v>-51.019649999999999</v>
      </c>
      <c r="CP173" s="399">
        <v>6.3260999999999861</v>
      </c>
      <c r="CQ173" s="399">
        <v>31</v>
      </c>
      <c r="CR173" s="399">
        <v>6.5242680071959569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-0.37917579631510989</v>
      </c>
      <c r="DA173" s="399">
        <v>0</v>
      </c>
      <c r="DB173" s="399">
        <v>0</v>
      </c>
      <c r="DC173" s="399">
        <v>6.3238451677854925</v>
      </c>
      <c r="DD173" s="399">
        <v>0</v>
      </c>
      <c r="DE173" s="399">
        <v>0</v>
      </c>
      <c r="DF173" s="399">
        <v>0</v>
      </c>
      <c r="DG173" s="399">
        <v>0.52706105989316931</v>
      </c>
      <c r="DH173" s="399">
        <v>0</v>
      </c>
      <c r="DI173" s="399">
        <v>0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0</v>
      </c>
      <c r="DP173" s="399">
        <v>5.2537575832409256E-2</v>
      </c>
      <c r="DQ173" s="399">
        <v>0</v>
      </c>
      <c r="DR173" s="399">
        <v>0</v>
      </c>
      <c r="DS173" s="399"/>
      <c r="DT173" s="399"/>
      <c r="DU173" s="399"/>
      <c r="DV173" s="399">
        <v>99.071679466339972</v>
      </c>
      <c r="DW173" s="399">
        <v>0</v>
      </c>
      <c r="DX173" s="399">
        <v>0</v>
      </c>
      <c r="DY173" s="399">
        <v>-51.019649999999999</v>
      </c>
      <c r="DZ173" s="399">
        <v>6.3260999999999683</v>
      </c>
      <c r="EA173" s="399">
        <v>0</v>
      </c>
      <c r="EB173" s="399">
        <v>0</v>
      </c>
      <c r="EC173" s="399">
        <v>-51.218674524424699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232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174</v>
      </c>
      <c r="B174" s="399" t="s">
        <v>956</v>
      </c>
      <c r="C174" s="399" t="s">
        <v>2328</v>
      </c>
      <c r="D174" s="399" t="s">
        <v>1821</v>
      </c>
      <c r="E174" s="399" t="s">
        <v>889</v>
      </c>
      <c r="F174" s="399" t="s">
        <v>2333</v>
      </c>
      <c r="G174" s="399" t="s">
        <v>1239</v>
      </c>
      <c r="H174" s="399" t="s">
        <v>1239</v>
      </c>
      <c r="I174" s="399" t="s">
        <v>1239</v>
      </c>
      <c r="J174" s="399" t="s">
        <v>2326</v>
      </c>
      <c r="K174" s="788">
        <v>44682</v>
      </c>
      <c r="L174" s="399">
        <v>0</v>
      </c>
      <c r="M174" s="399">
        <v>0</v>
      </c>
      <c r="N174" s="399">
        <v>0.71099999999999997</v>
      </c>
      <c r="O174" s="399">
        <v>0.71099999999999997</v>
      </c>
      <c r="P174" s="399">
        <v>0.71099999999999997</v>
      </c>
      <c r="Q174" s="399">
        <v>0.71099999999999997</v>
      </c>
      <c r="R174" s="399"/>
      <c r="S174" s="399">
        <v>325.25</v>
      </c>
      <c r="T174" s="399">
        <v>297.72000000000003</v>
      </c>
      <c r="U174" s="399"/>
      <c r="V174" s="399">
        <v>442.93167</v>
      </c>
      <c r="W174" s="399">
        <v>442.93167</v>
      </c>
      <c r="X174" s="399">
        <v>378.73548</v>
      </c>
      <c r="Y174" s="399">
        <v>0</v>
      </c>
      <c r="Z174" s="399">
        <v>0</v>
      </c>
      <c r="AA174" s="399">
        <v>0</v>
      </c>
      <c r="AB174" s="399">
        <v>0</v>
      </c>
      <c r="AC174" s="399">
        <v>0</v>
      </c>
      <c r="AD174" s="399">
        <v>70.671624758481684</v>
      </c>
      <c r="AE174" s="399">
        <v>142.30295777892468</v>
      </c>
      <c r="AF174" s="399">
        <v>211.68166231006538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0</v>
      </c>
      <c r="AM174" s="399"/>
      <c r="AN174" s="399">
        <v>0.63306511177894242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17.64261431722646</v>
      </c>
      <c r="BH174" s="399">
        <v>0</v>
      </c>
      <c r="BI174" s="399">
        <v>0</v>
      </c>
      <c r="BJ174" s="399">
        <v>0</v>
      </c>
      <c r="BK174" s="399">
        <v>82.2</v>
      </c>
      <c r="BL174" s="399">
        <v>3</v>
      </c>
      <c r="BM174" s="399"/>
      <c r="BN174" s="399"/>
      <c r="BO174" s="399"/>
      <c r="BP174" s="399"/>
      <c r="BQ174" s="399"/>
      <c r="BR174" s="399"/>
      <c r="BS174" s="399"/>
      <c r="BT174" s="399">
        <v>37.874970000000005</v>
      </c>
      <c r="BU174" s="399"/>
      <c r="BV174" s="399">
        <v>229.32427662729185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340.38109999999995</v>
      </c>
      <c r="CJ174" s="399">
        <v>-58.285269999999969</v>
      </c>
      <c r="CK174" s="399"/>
      <c r="CL174" s="399"/>
      <c r="CM174" s="399"/>
      <c r="CN174" s="399"/>
      <c r="CO174" s="399">
        <v>-73.282769999999985</v>
      </c>
      <c r="CP174" s="399">
        <v>9.0865799999999801</v>
      </c>
      <c r="CQ174" s="399">
        <v>31</v>
      </c>
      <c r="CR174" s="399">
        <v>9.3712213194268656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-0.54463432561624359</v>
      </c>
      <c r="DA174" s="399">
        <v>0</v>
      </c>
      <c r="DB174" s="399">
        <v>0</v>
      </c>
      <c r="DC174" s="399">
        <v>9.0833412410009657</v>
      </c>
      <c r="DD174" s="399">
        <v>0</v>
      </c>
      <c r="DE174" s="399">
        <v>0</v>
      </c>
      <c r="DF174" s="399">
        <v>0</v>
      </c>
      <c r="DG174" s="399">
        <v>0.7570513405738275</v>
      </c>
      <c r="DH174" s="399">
        <v>0</v>
      </c>
      <c r="DI174" s="399">
        <v>0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0</v>
      </c>
      <c r="DP174" s="399">
        <v>7.5463063468369618E-2</v>
      </c>
      <c r="DQ174" s="399">
        <v>0</v>
      </c>
      <c r="DR174" s="399">
        <v>0</v>
      </c>
      <c r="DS174" s="399"/>
      <c r="DT174" s="399"/>
      <c r="DU174" s="399"/>
      <c r="DV174" s="399">
        <v>142.30295777892468</v>
      </c>
      <c r="DW174" s="399">
        <v>0</v>
      </c>
      <c r="DX174" s="399">
        <v>0</v>
      </c>
      <c r="DY174" s="399">
        <v>-73.282769999999999</v>
      </c>
      <c r="DZ174" s="399">
        <v>9.0865799999999979</v>
      </c>
      <c r="EA174" s="399">
        <v>0</v>
      </c>
      <c r="EB174" s="399">
        <v>0</v>
      </c>
      <c r="EC174" s="399">
        <v>-73.5686415896282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232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175</v>
      </c>
      <c r="B175" s="399" t="s">
        <v>956</v>
      </c>
      <c r="C175" s="399" t="s">
        <v>2328</v>
      </c>
      <c r="D175" s="399" t="s">
        <v>1821</v>
      </c>
      <c r="E175" s="399" t="s">
        <v>889</v>
      </c>
      <c r="F175" s="399" t="s">
        <v>2334</v>
      </c>
      <c r="G175" s="399" t="s">
        <v>1239</v>
      </c>
      <c r="H175" s="399" t="s">
        <v>1239</v>
      </c>
      <c r="I175" s="399" t="s">
        <v>1239</v>
      </c>
      <c r="J175" s="399" t="s">
        <v>2326</v>
      </c>
      <c r="K175" s="788">
        <v>44682</v>
      </c>
      <c r="L175" s="399">
        <v>0</v>
      </c>
      <c r="M175" s="399">
        <v>0</v>
      </c>
      <c r="N175" s="399">
        <v>0.20200000000000001</v>
      </c>
      <c r="O175" s="399">
        <v>0.20200000000000001</v>
      </c>
      <c r="P175" s="399">
        <v>0.20200000000000001</v>
      </c>
      <c r="Q175" s="399">
        <v>0.20200000000000001</v>
      </c>
      <c r="R175" s="399"/>
      <c r="S175" s="399">
        <v>325.25</v>
      </c>
      <c r="T175" s="399">
        <v>297.72000000000003</v>
      </c>
      <c r="U175" s="399"/>
      <c r="V175" s="399">
        <v>125.83994000000001</v>
      </c>
      <c r="W175" s="399">
        <v>125.83994000000001</v>
      </c>
      <c r="X175" s="399">
        <v>107.60136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20.078295641650215</v>
      </c>
      <c r="AE175" s="399">
        <v>40.429251014546821</v>
      </c>
      <c r="AF175" s="399">
        <v>60.140219109188763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0.1798581611523859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5.0123883151613864</v>
      </c>
      <c r="BH175" s="399">
        <v>0</v>
      </c>
      <c r="BI175" s="399">
        <v>0</v>
      </c>
      <c r="BJ175" s="399">
        <v>0</v>
      </c>
      <c r="BK175" s="399">
        <v>34.74</v>
      </c>
      <c r="BL175" s="399">
        <v>4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65.152607424350151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106.536</v>
      </c>
      <c r="CJ175" s="399">
        <v>-19.333940000000027</v>
      </c>
      <c r="CK175" s="399"/>
      <c r="CL175" s="399"/>
      <c r="CM175" s="399"/>
      <c r="CN175" s="399"/>
      <c r="CO175" s="399">
        <v>-20.820139999999999</v>
      </c>
      <c r="CP175" s="399">
        <v>2.5815599999999947</v>
      </c>
      <c r="CQ175" s="399">
        <v>31</v>
      </c>
      <c r="CR175" s="399">
        <v>2.6624285605122822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-0.15473436536495555</v>
      </c>
      <c r="DA175" s="399">
        <v>0</v>
      </c>
      <c r="DB175" s="399">
        <v>0</v>
      </c>
      <c r="DC175" s="399">
        <v>2.5806398462478199</v>
      </c>
      <c r="DD175" s="399">
        <v>0</v>
      </c>
      <c r="DE175" s="399">
        <v>0</v>
      </c>
      <c r="DF175" s="399">
        <v>0</v>
      </c>
      <c r="DG175" s="399">
        <v>0.21508350322913206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0</v>
      </c>
      <c r="DP175" s="399">
        <v>2.1439576400296312E-2</v>
      </c>
      <c r="DQ175" s="399">
        <v>0</v>
      </c>
      <c r="DR175" s="399">
        <v>0</v>
      </c>
      <c r="DS175" s="399"/>
      <c r="DT175" s="399"/>
      <c r="DU175" s="399"/>
      <c r="DV175" s="399">
        <v>40.429251014546821</v>
      </c>
      <c r="DW175" s="399">
        <v>0</v>
      </c>
      <c r="DX175" s="399">
        <v>0</v>
      </c>
      <c r="DY175" s="399">
        <v>-20.820140000000002</v>
      </c>
      <c r="DZ175" s="399">
        <v>2.5815599999999961</v>
      </c>
      <c r="EA175" s="399">
        <v>0</v>
      </c>
      <c r="EB175" s="399">
        <v>0</v>
      </c>
      <c r="EC175" s="399">
        <v>-20.901358088755131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232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176</v>
      </c>
      <c r="B176" s="399" t="s">
        <v>956</v>
      </c>
      <c r="C176" s="399" t="s">
        <v>2328</v>
      </c>
      <c r="D176" s="399" t="s">
        <v>1824</v>
      </c>
      <c r="E176" s="399" t="s">
        <v>890</v>
      </c>
      <c r="F176" s="399" t="s">
        <v>1239</v>
      </c>
      <c r="G176" s="399" t="s">
        <v>1239</v>
      </c>
      <c r="H176" s="399" t="s">
        <v>1239</v>
      </c>
      <c r="I176" s="399" t="s">
        <v>1239</v>
      </c>
      <c r="J176" s="399" t="s">
        <v>2326</v>
      </c>
      <c r="K176" s="788">
        <v>44682</v>
      </c>
      <c r="L176" s="399">
        <v>0</v>
      </c>
      <c r="M176" s="399">
        <v>0</v>
      </c>
      <c r="N176" s="399">
        <v>2.5099999999999998</v>
      </c>
      <c r="O176" s="399">
        <v>2.5099999999999998</v>
      </c>
      <c r="P176" s="399">
        <v>2.5099999999999998</v>
      </c>
      <c r="Q176" s="399">
        <v>2.5099999999999998</v>
      </c>
      <c r="R176" s="399"/>
      <c r="S176" s="399">
        <v>395.23</v>
      </c>
      <c r="T176" s="399">
        <v>297.72000000000003</v>
      </c>
      <c r="U176" s="399"/>
      <c r="V176" s="399">
        <v>1739.3045</v>
      </c>
      <c r="W176" s="399">
        <v>1739.3045</v>
      </c>
      <c r="X176" s="399">
        <v>1541.5164999999997</v>
      </c>
      <c r="Y176" s="399">
        <v>0</v>
      </c>
      <c r="Z176" s="399">
        <v>152.13516198456995</v>
      </c>
      <c r="AA176" s="399">
        <v>0</v>
      </c>
      <c r="AB176" s="399">
        <v>0</v>
      </c>
      <c r="AC176" s="399">
        <v>0</v>
      </c>
      <c r="AD176" s="399">
        <v>249.48773297298033</v>
      </c>
      <c r="AE176" s="399">
        <v>502.36346557679457</v>
      </c>
      <c r="AF176" s="399">
        <v>747.28688101021669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23.520927387101395</v>
      </c>
      <c r="AM176" s="399"/>
      <c r="AN176" s="399">
        <v>2.2348712103588544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62.282646886411278</v>
      </c>
      <c r="BH176" s="399">
        <v>0</v>
      </c>
      <c r="BI176" s="399">
        <v>0</v>
      </c>
      <c r="BJ176" s="399">
        <v>0</v>
      </c>
      <c r="BK176" s="399">
        <v>497.95</v>
      </c>
      <c r="BL176" s="399">
        <v>2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809.56952789662796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1541.5164999999997</v>
      </c>
      <c r="CJ176" s="399">
        <v>-197.81800000000021</v>
      </c>
      <c r="CK176" s="399"/>
      <c r="CL176" s="399"/>
      <c r="CM176" s="399"/>
      <c r="CN176" s="399"/>
      <c r="CO176" s="399">
        <v>-229.86580000000009</v>
      </c>
      <c r="CP176" s="399">
        <v>32.077799999999925</v>
      </c>
      <c r="CQ176" s="399">
        <v>31</v>
      </c>
      <c r="CR176" s="399">
        <v>61.906571173172097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-1.9226893914160144</v>
      </c>
      <c r="DA176" s="399">
        <v>0</v>
      </c>
      <c r="DB176" s="399">
        <v>0</v>
      </c>
      <c r="DC176" s="399">
        <v>32.066366406346674</v>
      </c>
      <c r="DD176" s="399">
        <v>0</v>
      </c>
      <c r="DE176" s="399">
        <v>0</v>
      </c>
      <c r="DF176" s="399">
        <v>0</v>
      </c>
      <c r="DG176" s="399">
        <v>2.6725722430946561</v>
      </c>
      <c r="DH176" s="399">
        <v>0</v>
      </c>
      <c r="DI176" s="399">
        <v>25.398493308545682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3.4254259493498544</v>
      </c>
      <c r="DP176" s="399">
        <v>0.2664026572512066</v>
      </c>
      <c r="DQ176" s="399">
        <v>0</v>
      </c>
      <c r="DR176" s="399">
        <v>0</v>
      </c>
      <c r="DS176" s="399"/>
      <c r="DT176" s="399"/>
      <c r="DU176" s="399"/>
      <c r="DV176" s="399">
        <v>502.36346557679457</v>
      </c>
      <c r="DW176" s="399">
        <v>0</v>
      </c>
      <c r="DX176" s="399">
        <v>0</v>
      </c>
      <c r="DY176" s="399">
        <v>-229.86580000000004</v>
      </c>
      <c r="DZ176" s="399">
        <v>32.077799999999911</v>
      </c>
      <c r="EA176" s="399">
        <v>0</v>
      </c>
      <c r="EB176" s="399">
        <v>0</v>
      </c>
      <c r="EC176" s="399">
        <v>-259.7148950632444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232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177</v>
      </c>
      <c r="B177" s="399" t="s">
        <v>956</v>
      </c>
      <c r="C177" s="399" t="s">
        <v>2343</v>
      </c>
      <c r="D177" s="399" t="s">
        <v>533</v>
      </c>
      <c r="E177" s="399" t="s">
        <v>890</v>
      </c>
      <c r="F177" s="399" t="s">
        <v>1239</v>
      </c>
      <c r="G177" s="399" t="s">
        <v>1239</v>
      </c>
      <c r="H177" s="399" t="s">
        <v>1239</v>
      </c>
      <c r="I177" s="399" t="s">
        <v>893</v>
      </c>
      <c r="J177" s="399" t="s">
        <v>2326</v>
      </c>
      <c r="K177" s="788">
        <v>44682</v>
      </c>
      <c r="L177" s="399">
        <v>715</v>
      </c>
      <c r="M177" s="399">
        <v>715</v>
      </c>
      <c r="N177" s="399">
        <v>34.067999999999998</v>
      </c>
      <c r="O177" s="399">
        <v>34.067999999999998</v>
      </c>
      <c r="P177" s="399">
        <v>34.067999999999998</v>
      </c>
      <c r="Q177" s="399">
        <v>34.067999999999998</v>
      </c>
      <c r="R177" s="399">
        <v>78.569999999999993</v>
      </c>
      <c r="S177" s="399">
        <v>72.290000000000006</v>
      </c>
      <c r="T177" s="399">
        <v>297.72000000000003</v>
      </c>
      <c r="U177" s="399">
        <v>56177.549999999996</v>
      </c>
      <c r="V177" s="399">
        <v>12605.500679999999</v>
      </c>
      <c r="W177" s="399">
        <v>68783.050679999986</v>
      </c>
      <c r="X177" s="399">
        <v>51641.913919999999</v>
      </c>
      <c r="Y177" s="399">
        <v>0</v>
      </c>
      <c r="Z177" s="399">
        <v>1796.47745326159</v>
      </c>
      <c r="AA177" s="399">
        <v>0</v>
      </c>
      <c r="AB177" s="399">
        <v>0</v>
      </c>
      <c r="AC177" s="399">
        <v>0</v>
      </c>
      <c r="AD177" s="399">
        <v>21794.517656357159</v>
      </c>
      <c r="AE177" s="399">
        <v>34384.966773572196</v>
      </c>
      <c r="AF177" s="399">
        <v>10142.856359464568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319.24739212102401</v>
      </c>
      <c r="AM177" s="399"/>
      <c r="AN177" s="399">
        <v>20.541430185463827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326.38686128811963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10469.243220752687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51642.700799999999</v>
      </c>
      <c r="CJ177" s="399">
        <v>-17140.37988</v>
      </c>
      <c r="CK177" s="399"/>
      <c r="CL177" s="399"/>
      <c r="CM177" s="399"/>
      <c r="CN177" s="399"/>
      <c r="CO177" s="399">
        <v>-17576.525799999999</v>
      </c>
      <c r="CP177" s="399">
        <v>435.38903999999906</v>
      </c>
      <c r="CQ177" s="399">
        <v>31</v>
      </c>
      <c r="CR177" s="399">
        <v>630.13664773211349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-167.96051408843778</v>
      </c>
      <c r="DA177" s="399">
        <v>0</v>
      </c>
      <c r="DB177" s="399">
        <v>0</v>
      </c>
      <c r="DC177" s="399">
        <v>435.23385288104146</v>
      </c>
      <c r="DD177" s="399">
        <v>0</v>
      </c>
      <c r="DE177" s="399">
        <v>0</v>
      </c>
      <c r="DF177" s="399">
        <v>0</v>
      </c>
      <c r="DG177" s="399">
        <v>14.005385281397309</v>
      </c>
      <c r="DH177" s="399">
        <v>0</v>
      </c>
      <c r="DI177" s="399">
        <v>299.91633742267209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46.492992526872911</v>
      </c>
      <c r="DP177" s="399">
        <v>2.4485937085694367</v>
      </c>
      <c r="DQ177" s="399">
        <v>0</v>
      </c>
      <c r="DR177" s="399">
        <v>0</v>
      </c>
      <c r="DS177" s="399"/>
      <c r="DT177" s="399"/>
      <c r="DU177" s="399">
        <v>34384.966773572196</v>
      </c>
      <c r="DV177" s="399">
        <v>0</v>
      </c>
      <c r="DW177" s="399">
        <v>0</v>
      </c>
      <c r="DX177" s="399">
        <v>0</v>
      </c>
      <c r="DY177" s="399">
        <v>-17576.525799999996</v>
      </c>
      <c r="DZ177" s="399">
        <v>435.38904000000002</v>
      </c>
      <c r="EA177" s="399">
        <v>0</v>
      </c>
      <c r="EB177" s="399">
        <v>0</v>
      </c>
      <c r="EC177" s="399">
        <v>-17776.547558246544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232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178</v>
      </c>
      <c r="B178" s="399" t="s">
        <v>956</v>
      </c>
      <c r="C178" s="399" t="s">
        <v>2343</v>
      </c>
      <c r="D178" s="399" t="s">
        <v>533</v>
      </c>
      <c r="E178" s="399" t="s">
        <v>890</v>
      </c>
      <c r="F178" s="399" t="s">
        <v>1239</v>
      </c>
      <c r="G178" s="399" t="s">
        <v>1239</v>
      </c>
      <c r="H178" s="399" t="s">
        <v>1239</v>
      </c>
      <c r="I178" s="399" t="s">
        <v>2323</v>
      </c>
      <c r="J178" s="399" t="s">
        <v>2326</v>
      </c>
      <c r="K178" s="788">
        <v>44682</v>
      </c>
      <c r="L178" s="399">
        <v>715</v>
      </c>
      <c r="M178" s="399">
        <v>715</v>
      </c>
      <c r="N178" s="399">
        <v>240.447</v>
      </c>
      <c r="O178" s="399">
        <v>240.447</v>
      </c>
      <c r="P178" s="399">
        <v>240.447</v>
      </c>
      <c r="Q178" s="399">
        <v>240.447</v>
      </c>
      <c r="R178" s="399">
        <v>25.76</v>
      </c>
      <c r="S178" s="399">
        <v>72.290000000000006</v>
      </c>
      <c r="T178" s="399">
        <v>297.72000000000003</v>
      </c>
      <c r="U178" s="399">
        <v>18418.400000000001</v>
      </c>
      <c r="V178" s="399">
        <v>88967.794470000023</v>
      </c>
      <c r="W178" s="399">
        <v>107386.19447000002</v>
      </c>
      <c r="X178" s="399">
        <v>107986.26767999999</v>
      </c>
      <c r="Y178" s="399">
        <v>0</v>
      </c>
      <c r="Z178" s="399">
        <v>12679.277157578652</v>
      </c>
      <c r="AA178" s="399">
        <v>0</v>
      </c>
      <c r="AB178" s="399">
        <v>0</v>
      </c>
      <c r="AC178" s="399">
        <v>0</v>
      </c>
      <c r="AD178" s="399">
        <v>8809.0697848288128</v>
      </c>
      <c r="AE178" s="399">
        <v>9608.3573567757503</v>
      </c>
      <c r="AF178" s="399">
        <v>71586.808238352038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2253.2017639228566</v>
      </c>
      <c r="AM178" s="399"/>
      <c r="AN178" s="399">
        <v>144.97843324539807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2303.5911012135875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73890.399339565629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107987.44799999999</v>
      </c>
      <c r="CJ178" s="399">
        <v>601.22352999998839</v>
      </c>
      <c r="CK178" s="399"/>
      <c r="CL178" s="399"/>
      <c r="CM178" s="399"/>
      <c r="CN178" s="399"/>
      <c r="CO178" s="399">
        <v>-2472.839450000004</v>
      </c>
      <c r="CP178" s="399">
        <v>3072.9126599999936</v>
      </c>
      <c r="CQ178" s="399">
        <v>31</v>
      </c>
      <c r="CR178" s="399">
        <v>5564.9664207957976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-67.88752625912457</v>
      </c>
      <c r="DA178" s="399">
        <v>0</v>
      </c>
      <c r="DB178" s="399">
        <v>0</v>
      </c>
      <c r="DC178" s="399">
        <v>3071.8173718353792</v>
      </c>
      <c r="DD178" s="399">
        <v>0</v>
      </c>
      <c r="DE178" s="399">
        <v>0</v>
      </c>
      <c r="DF178" s="399">
        <v>0</v>
      </c>
      <c r="DG178" s="399">
        <v>98.847976833278608</v>
      </c>
      <c r="DH178" s="399">
        <v>0</v>
      </c>
      <c r="DI178" s="399">
        <v>2116.7659852139641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328.14079412084629</v>
      </c>
      <c r="DP178" s="399">
        <v>17.281819051438163</v>
      </c>
      <c r="DQ178" s="399">
        <v>0</v>
      </c>
      <c r="DR178" s="399">
        <v>0</v>
      </c>
      <c r="DS178" s="399"/>
      <c r="DT178" s="399"/>
      <c r="DU178" s="399">
        <v>9608.3573567757503</v>
      </c>
      <c r="DV178" s="399">
        <v>0</v>
      </c>
      <c r="DW178" s="399">
        <v>0</v>
      </c>
      <c r="DX178" s="399">
        <v>0</v>
      </c>
      <c r="DY178" s="399">
        <v>-2472.8394500000068</v>
      </c>
      <c r="DZ178" s="399">
        <v>3072.9126599999872</v>
      </c>
      <c r="EA178" s="399">
        <v>0</v>
      </c>
      <c r="EB178" s="399">
        <v>0</v>
      </c>
      <c r="EC178" s="399">
        <v>-4967.3865510502392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232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179</v>
      </c>
      <c r="B179" s="399" t="s">
        <v>956</v>
      </c>
      <c r="C179" s="399" t="s">
        <v>2343</v>
      </c>
      <c r="D179" s="399" t="s">
        <v>533</v>
      </c>
      <c r="E179" s="399" t="s">
        <v>890</v>
      </c>
      <c r="F179" s="399" t="s">
        <v>1239</v>
      </c>
      <c r="G179" s="399" t="s">
        <v>1239</v>
      </c>
      <c r="H179" s="399" t="s">
        <v>1239</v>
      </c>
      <c r="I179" s="399" t="s">
        <v>1239</v>
      </c>
      <c r="J179" s="399" t="s">
        <v>2326</v>
      </c>
      <c r="K179" s="788">
        <v>44682</v>
      </c>
      <c r="L179" s="399">
        <v>0</v>
      </c>
      <c r="M179" s="399">
        <v>0</v>
      </c>
      <c r="N179" s="399">
        <v>0</v>
      </c>
      <c r="O179" s="399">
        <v>0</v>
      </c>
      <c r="P179" s="399">
        <v>0</v>
      </c>
      <c r="Q179" s="399">
        <v>0</v>
      </c>
      <c r="R179" s="399"/>
      <c r="S179" s="399"/>
      <c r="T179" s="399"/>
      <c r="U179" s="399"/>
      <c r="V179" s="399"/>
      <c r="W179" s="399"/>
      <c r="X179" s="399"/>
      <c r="Y179" s="399"/>
      <c r="Z179" s="399"/>
      <c r="AA179" s="399">
        <v>0</v>
      </c>
      <c r="AB179" s="399"/>
      <c r="AC179" s="399"/>
      <c r="AD179" s="399"/>
      <c r="AE179" s="399"/>
      <c r="AF179" s="399"/>
      <c r="AG179" s="399"/>
      <c r="AH179" s="399"/>
      <c r="AI179" s="399"/>
      <c r="AJ179" s="399"/>
      <c r="AK179" s="399"/>
      <c r="AL179" s="399"/>
      <c r="AM179" s="399"/>
      <c r="AN179" s="399"/>
      <c r="AO179" s="399"/>
      <c r="AP179" s="399"/>
      <c r="AQ179" s="399"/>
      <c r="AR179" s="399"/>
      <c r="AS179" s="399"/>
      <c r="AT179" s="399"/>
      <c r="AU179" s="399"/>
      <c r="AV179" s="399"/>
      <c r="AW179" s="399"/>
      <c r="AX179" s="399"/>
      <c r="AY179" s="399"/>
      <c r="AZ179" s="399">
        <v>0</v>
      </c>
      <c r="BA179" s="399"/>
      <c r="BB179" s="399"/>
      <c r="BC179" s="399"/>
      <c r="BD179" s="399"/>
      <c r="BE179" s="399"/>
      <c r="BF179" s="399"/>
      <c r="BG179" s="399"/>
      <c r="BH179" s="399"/>
      <c r="BI179" s="399">
        <v>0</v>
      </c>
      <c r="BJ179" s="399">
        <v>0</v>
      </c>
      <c r="BK179" s="399">
        <v>52729.84</v>
      </c>
      <c r="BL179" s="399">
        <v>1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/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/>
      <c r="CJ179" s="399">
        <v>-0.03</v>
      </c>
      <c r="CK179" s="399"/>
      <c r="CL179" s="399"/>
      <c r="CM179" s="399"/>
      <c r="CN179" s="399"/>
      <c r="CO179" s="399">
        <v>0</v>
      </c>
      <c r="CP179" s="399">
        <v>0</v>
      </c>
      <c r="CQ179" s="399">
        <v>31</v>
      </c>
      <c r="CR179" s="399"/>
      <c r="CS179" s="399"/>
      <c r="CT179" s="399"/>
      <c r="CU179" s="399"/>
      <c r="CV179" s="399"/>
      <c r="CW179" s="399"/>
      <c r="CX179" s="399"/>
      <c r="CY179" s="399"/>
      <c r="CZ179" s="399"/>
      <c r="DA179" s="399"/>
      <c r="DB179" s="399"/>
      <c r="DC179" s="399"/>
      <c r="DD179" s="399"/>
      <c r="DE179" s="399"/>
      <c r="DF179" s="399"/>
      <c r="DG179" s="399"/>
      <c r="DH179" s="399"/>
      <c r="DI179" s="399"/>
      <c r="DJ179" s="399"/>
      <c r="DK179" s="399">
        <v>0</v>
      </c>
      <c r="DL179" s="399"/>
      <c r="DM179" s="399"/>
      <c r="DN179" s="399"/>
      <c r="DO179" s="399"/>
      <c r="DP179" s="399"/>
      <c r="DQ179" s="399"/>
      <c r="DR179" s="399"/>
      <c r="DS179" s="399"/>
      <c r="DT179" s="399"/>
      <c r="DU179" s="399"/>
      <c r="DV179" s="399"/>
      <c r="DW179" s="399"/>
      <c r="DX179" s="399"/>
      <c r="DY179" s="399"/>
      <c r="DZ179" s="399"/>
      <c r="EA179" s="399"/>
      <c r="EB179" s="399"/>
      <c r="EC179" s="399"/>
      <c r="ED179" s="399"/>
      <c r="EE179" s="399"/>
      <c r="EF179" s="399"/>
      <c r="EG179" s="399"/>
      <c r="EH179" s="399"/>
      <c r="EI179" s="399"/>
      <c r="EJ179" s="399"/>
      <c r="EK179" s="399"/>
      <c r="EL179" s="399"/>
      <c r="EM179" s="399"/>
      <c r="EN179" s="399"/>
      <c r="EO179" s="399"/>
      <c r="EP179" s="399"/>
      <c r="EQ179" s="399"/>
      <c r="ER179" s="399"/>
      <c r="ES179" s="399"/>
      <c r="ET179" s="399"/>
      <c r="EU179" s="399"/>
      <c r="EV179" s="399">
        <v>232</v>
      </c>
      <c r="EW179" s="399"/>
      <c r="EX179" s="399"/>
      <c r="EY179" s="399"/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180</v>
      </c>
      <c r="B180" s="399" t="s">
        <v>956</v>
      </c>
      <c r="C180" s="399" t="s">
        <v>2325</v>
      </c>
      <c r="D180" s="399" t="s">
        <v>533</v>
      </c>
      <c r="E180" s="399" t="s">
        <v>890</v>
      </c>
      <c r="F180" s="399" t="s">
        <v>1239</v>
      </c>
      <c r="G180" s="399" t="s">
        <v>1239</v>
      </c>
      <c r="H180" s="399" t="s">
        <v>1239</v>
      </c>
      <c r="I180" s="399" t="s">
        <v>893</v>
      </c>
      <c r="J180" s="399" t="s">
        <v>2326</v>
      </c>
      <c r="K180" s="788">
        <v>44682</v>
      </c>
      <c r="L180" s="399">
        <v>0</v>
      </c>
      <c r="M180" s="399">
        <v>0</v>
      </c>
      <c r="N180" s="399">
        <v>49.109000000000002</v>
      </c>
      <c r="O180" s="399">
        <v>49.109000000000002</v>
      </c>
      <c r="P180" s="399">
        <v>49.109000000000002</v>
      </c>
      <c r="Q180" s="399">
        <v>49.109000000000002</v>
      </c>
      <c r="R180" s="399"/>
      <c r="S180" s="399">
        <v>1962.25</v>
      </c>
      <c r="T180" s="399">
        <v>297.72000000000003</v>
      </c>
      <c r="U180" s="399"/>
      <c r="V180" s="399">
        <v>110984.86673000001</v>
      </c>
      <c r="W180" s="399">
        <v>110984.86673000001</v>
      </c>
      <c r="X180" s="399">
        <v>82493.789290000001</v>
      </c>
      <c r="Y180" s="399">
        <v>0</v>
      </c>
      <c r="Z180" s="399">
        <v>2589.6210887702073</v>
      </c>
      <c r="AA180" s="399">
        <v>0</v>
      </c>
      <c r="AB180" s="399">
        <v>0</v>
      </c>
      <c r="AC180" s="399">
        <v>0</v>
      </c>
      <c r="AD180" s="399">
        <v>36015.629614264908</v>
      </c>
      <c r="AE180" s="399">
        <v>56798.806583985963</v>
      </c>
      <c r="AF180" s="399">
        <v>14620.920892243323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460.19490958293329</v>
      </c>
      <c r="AM180" s="399"/>
      <c r="AN180" s="399">
        <v>29.610458347362425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470.48644977686592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15091.407342020189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82495.469100000002</v>
      </c>
      <c r="CJ180" s="399">
        <v>-28489.427629999991</v>
      </c>
      <c r="CK180" s="399"/>
      <c r="CL180" s="399"/>
      <c r="CM180" s="399"/>
      <c r="CN180" s="399"/>
      <c r="CO180" s="399">
        <v>-29118.690460000005</v>
      </c>
      <c r="CP180" s="399">
        <v>627.61301999999864</v>
      </c>
      <c r="CQ180" s="399">
        <v>31</v>
      </c>
      <c r="CR180" s="399">
        <v>872.9003358682603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-277.55620751102106</v>
      </c>
      <c r="DA180" s="399">
        <v>0</v>
      </c>
      <c r="DB180" s="399">
        <v>0</v>
      </c>
      <c r="DC180" s="399">
        <v>627.38931786823559</v>
      </c>
      <c r="DD180" s="399">
        <v>0</v>
      </c>
      <c r="DE180" s="399">
        <v>0</v>
      </c>
      <c r="DF180" s="399">
        <v>0</v>
      </c>
      <c r="DG180" s="399">
        <v>20.188753838914522</v>
      </c>
      <c r="DH180" s="399">
        <v>0</v>
      </c>
      <c r="DI180" s="399">
        <v>432.32920671862212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67.01961870383343</v>
      </c>
      <c r="DP180" s="399">
        <v>3.5296462496811287</v>
      </c>
      <c r="DQ180" s="399">
        <v>0</v>
      </c>
      <c r="DR180" s="399">
        <v>0</v>
      </c>
      <c r="DS180" s="399"/>
      <c r="DT180" s="399"/>
      <c r="DU180" s="399"/>
      <c r="DV180" s="399">
        <v>56798.806583985963</v>
      </c>
      <c r="DW180" s="399">
        <v>0</v>
      </c>
      <c r="DX180" s="399">
        <v>0</v>
      </c>
      <c r="DY180" s="399">
        <v>-29118.690460000013</v>
      </c>
      <c r="DZ180" s="399">
        <v>627.61301999999887</v>
      </c>
      <c r="EA180" s="399">
        <v>0</v>
      </c>
      <c r="EB180" s="399">
        <v>0</v>
      </c>
      <c r="EC180" s="399">
        <v>-29364.189680354764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232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181</v>
      </c>
      <c r="B181" s="399" t="s">
        <v>956</v>
      </c>
      <c r="C181" s="399" t="s">
        <v>2325</v>
      </c>
      <c r="D181" s="399" t="s">
        <v>533</v>
      </c>
      <c r="E181" s="399" t="s">
        <v>890</v>
      </c>
      <c r="F181" s="399" t="s">
        <v>1239</v>
      </c>
      <c r="G181" s="399" t="s">
        <v>1239</v>
      </c>
      <c r="H181" s="399" t="s">
        <v>1239</v>
      </c>
      <c r="I181" s="399" t="s">
        <v>2323</v>
      </c>
      <c r="J181" s="399" t="s">
        <v>2326</v>
      </c>
      <c r="K181" s="788">
        <v>44682</v>
      </c>
      <c r="L181" s="399">
        <v>0</v>
      </c>
      <c r="M181" s="399">
        <v>0</v>
      </c>
      <c r="N181" s="399">
        <v>681.37400000000002</v>
      </c>
      <c r="O181" s="399">
        <v>681.37400000000002</v>
      </c>
      <c r="P181" s="399">
        <v>681.37400000000002</v>
      </c>
      <c r="Q181" s="399">
        <v>681.37400000000002</v>
      </c>
      <c r="R181" s="399"/>
      <c r="S181" s="399">
        <v>72.290000000000006</v>
      </c>
      <c r="T181" s="399">
        <v>297.72000000000003</v>
      </c>
      <c r="U181" s="399"/>
      <c r="V181" s="399">
        <v>252115.19374000002</v>
      </c>
      <c r="W181" s="399">
        <v>252115.19374000002</v>
      </c>
      <c r="X181" s="399">
        <v>268079.78656000004</v>
      </c>
      <c r="Y181" s="399">
        <v>0</v>
      </c>
      <c r="Z181" s="399">
        <v>35930.287314742942</v>
      </c>
      <c r="AA181" s="399">
        <v>0</v>
      </c>
      <c r="AB181" s="399">
        <v>0</v>
      </c>
      <c r="AC181" s="399">
        <v>0</v>
      </c>
      <c r="AD181" s="399">
        <v>0</v>
      </c>
      <c r="AE181" s="399">
        <v>0</v>
      </c>
      <c r="AF181" s="399">
        <v>202861.29532328903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6385.0790348441542</v>
      </c>
      <c r="AM181" s="399"/>
      <c r="AN181" s="399">
        <v>410.83704506252877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6527.8713520996607</v>
      </c>
      <c r="BH181" s="399">
        <v>0</v>
      </c>
      <c r="BI181" s="399">
        <v>0</v>
      </c>
      <c r="BJ181" s="399">
        <v>0</v>
      </c>
      <c r="BK181" s="399">
        <v>0</v>
      </c>
      <c r="BL181" s="399">
        <v>0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209389.1666753887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268078.21279999998</v>
      </c>
      <c r="CJ181" s="399">
        <v>15962.989059999934</v>
      </c>
      <c r="CK181" s="399"/>
      <c r="CL181" s="399"/>
      <c r="CM181" s="399"/>
      <c r="CN181" s="399"/>
      <c r="CO181" s="399">
        <v>7256.6330999999946</v>
      </c>
      <c r="CP181" s="399">
        <v>8707.9597199999826</v>
      </c>
      <c r="CQ181" s="399">
        <v>31</v>
      </c>
      <c r="CR181" s="399">
        <v>15962.271208709601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0</v>
      </c>
      <c r="DA181" s="399">
        <v>0</v>
      </c>
      <c r="DB181" s="399">
        <v>0</v>
      </c>
      <c r="DC181" s="399">
        <v>8704.8559138478304</v>
      </c>
      <c r="DD181" s="399">
        <v>0</v>
      </c>
      <c r="DE181" s="399">
        <v>0</v>
      </c>
      <c r="DF181" s="399">
        <v>0</v>
      </c>
      <c r="DG181" s="399">
        <v>280.11346104047243</v>
      </c>
      <c r="DH181" s="399">
        <v>0</v>
      </c>
      <c r="DI181" s="399">
        <v>5998.4499969189856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929.87895649892835</v>
      </c>
      <c r="DP181" s="399">
        <v>48.972880403393049</v>
      </c>
      <c r="DQ181" s="399">
        <v>0</v>
      </c>
      <c r="DR181" s="399">
        <v>0</v>
      </c>
      <c r="DS181" s="399"/>
      <c r="DT181" s="399"/>
      <c r="DU181" s="399"/>
      <c r="DV181" s="399">
        <v>0</v>
      </c>
      <c r="DW181" s="399">
        <v>0</v>
      </c>
      <c r="DX181" s="399">
        <v>0</v>
      </c>
      <c r="DY181" s="399">
        <v>7256.6330999999918</v>
      </c>
      <c r="DZ181" s="399">
        <v>8707.9597199999844</v>
      </c>
      <c r="EA181" s="399">
        <v>0</v>
      </c>
      <c r="EB181" s="399">
        <v>0</v>
      </c>
      <c r="EC181" s="399">
        <v>0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232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182</v>
      </c>
      <c r="B182" s="399" t="s">
        <v>956</v>
      </c>
      <c r="C182" s="399" t="s">
        <v>2325</v>
      </c>
      <c r="D182" s="399" t="s">
        <v>533</v>
      </c>
      <c r="E182" s="399" t="s">
        <v>890</v>
      </c>
      <c r="F182" s="399" t="s">
        <v>1239</v>
      </c>
      <c r="G182" s="399" t="s">
        <v>1239</v>
      </c>
      <c r="H182" s="399" t="s">
        <v>1239</v>
      </c>
      <c r="I182" s="399" t="s">
        <v>1239</v>
      </c>
      <c r="J182" s="399" t="s">
        <v>2326</v>
      </c>
      <c r="K182" s="788">
        <v>44682</v>
      </c>
      <c r="L182" s="399">
        <v>3050</v>
      </c>
      <c r="M182" s="399">
        <v>3050</v>
      </c>
      <c r="N182" s="399">
        <v>0</v>
      </c>
      <c r="O182" s="399">
        <v>0</v>
      </c>
      <c r="P182" s="399">
        <v>0</v>
      </c>
      <c r="Q182" s="399">
        <v>0</v>
      </c>
      <c r="R182" s="399">
        <v>25.76</v>
      </c>
      <c r="S182" s="399"/>
      <c r="T182" s="399"/>
      <c r="U182" s="399">
        <v>78568</v>
      </c>
      <c r="V182" s="399"/>
      <c r="W182" s="399">
        <v>78568</v>
      </c>
      <c r="X182" s="399">
        <v>57096</v>
      </c>
      <c r="Y182" s="399">
        <v>0</v>
      </c>
      <c r="Z182" s="399">
        <v>0</v>
      </c>
      <c r="AA182" s="399">
        <v>0</v>
      </c>
      <c r="AB182" s="399">
        <v>0</v>
      </c>
      <c r="AC182" s="399">
        <v>0</v>
      </c>
      <c r="AD182" s="399">
        <v>37577.150830388644</v>
      </c>
      <c r="AE182" s="399">
        <v>40986.699214218235</v>
      </c>
      <c r="AF182" s="399"/>
      <c r="AG182" s="399"/>
      <c r="AH182" s="399"/>
      <c r="AI182" s="399">
        <v>0</v>
      </c>
      <c r="AJ182" s="399">
        <v>0</v>
      </c>
      <c r="AK182" s="399">
        <v>0</v>
      </c>
      <c r="AL182" s="399">
        <v>0</v>
      </c>
      <c r="AM182" s="399"/>
      <c r="AN182" s="399">
        <v>0</v>
      </c>
      <c r="AO182" s="399">
        <v>0</v>
      </c>
      <c r="AP182" s="399">
        <v>0</v>
      </c>
      <c r="AQ182" s="399">
        <v>0</v>
      </c>
      <c r="AR182" s="399">
        <v>0</v>
      </c>
      <c r="AS182" s="399"/>
      <c r="AT182" s="399"/>
      <c r="AU182" s="399">
        <v>0</v>
      </c>
      <c r="AV182" s="399">
        <v>0</v>
      </c>
      <c r="AW182" s="399">
        <v>0</v>
      </c>
      <c r="AX182" s="399"/>
      <c r="AY182" s="399"/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/>
      <c r="BG182" s="399">
        <v>0</v>
      </c>
      <c r="BH182" s="399">
        <v>0</v>
      </c>
      <c r="BI182" s="399">
        <v>0</v>
      </c>
      <c r="BJ182" s="399">
        <v>0</v>
      </c>
      <c r="BK182" s="399">
        <v>129437.68</v>
      </c>
      <c r="BL182" s="399">
        <v>3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0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57096</v>
      </c>
      <c r="CJ182" s="399">
        <v>-21472.029999999984</v>
      </c>
      <c r="CK182" s="399"/>
      <c r="CL182" s="399"/>
      <c r="CM182" s="399"/>
      <c r="CN182" s="399"/>
      <c r="CO182" s="399">
        <v>-21472.000000000007</v>
      </c>
      <c r="CP182" s="399">
        <v>0</v>
      </c>
      <c r="CQ182" s="399">
        <v>31</v>
      </c>
      <c r="CR182" s="399">
        <v>-289.59014697948442</v>
      </c>
      <c r="CS182" s="399">
        <v>0</v>
      </c>
      <c r="CT182" s="399">
        <v>0</v>
      </c>
      <c r="CU182" s="399">
        <v>0</v>
      </c>
      <c r="CV182" s="399">
        <v>0</v>
      </c>
      <c r="CW182" s="399"/>
      <c r="CX182" s="399"/>
      <c r="CY182" s="399"/>
      <c r="CZ182" s="399">
        <v>-289.59014697948442</v>
      </c>
      <c r="DA182" s="399">
        <v>0</v>
      </c>
      <c r="DB182" s="399">
        <v>0</v>
      </c>
      <c r="DC182" s="399"/>
      <c r="DD182" s="399"/>
      <c r="DE182" s="399">
        <v>0</v>
      </c>
      <c r="DF182" s="399">
        <v>0</v>
      </c>
      <c r="DG182" s="399">
        <v>0</v>
      </c>
      <c r="DH182" s="399">
        <v>0</v>
      </c>
      <c r="DI182" s="399">
        <v>0</v>
      </c>
      <c r="DJ182" s="399"/>
      <c r="DK182" s="399">
        <v>0</v>
      </c>
      <c r="DL182" s="399">
        <v>0</v>
      </c>
      <c r="DM182" s="399"/>
      <c r="DN182" s="399">
        <v>0</v>
      </c>
      <c r="DO182" s="399">
        <v>0</v>
      </c>
      <c r="DP182" s="399">
        <v>0</v>
      </c>
      <c r="DQ182" s="399">
        <v>0</v>
      </c>
      <c r="DR182" s="399">
        <v>0</v>
      </c>
      <c r="DS182" s="399"/>
      <c r="DT182" s="399"/>
      <c r="DU182" s="399">
        <v>40986.699214218235</v>
      </c>
      <c r="DV182" s="399"/>
      <c r="DW182" s="399">
        <v>0</v>
      </c>
      <c r="DX182" s="399">
        <v>0</v>
      </c>
      <c r="DY182" s="399">
        <v>-21472</v>
      </c>
      <c r="DZ182" s="399"/>
      <c r="EA182" s="399">
        <v>0</v>
      </c>
      <c r="EB182" s="399"/>
      <c r="EC182" s="399">
        <v>-21189.551021962558</v>
      </c>
      <c r="ED182" s="399"/>
      <c r="EE182" s="399">
        <v>0</v>
      </c>
      <c r="EF182" s="399">
        <v>0</v>
      </c>
      <c r="EG182" s="399"/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/>
      <c r="EN182" s="399"/>
      <c r="EO182" s="399">
        <v>0</v>
      </c>
      <c r="EP182" s="399">
        <v>0</v>
      </c>
      <c r="EQ182" s="399"/>
      <c r="ER182" s="399">
        <v>0</v>
      </c>
      <c r="ES182" s="399"/>
      <c r="ET182" s="399">
        <v>0</v>
      </c>
      <c r="EU182" s="399"/>
      <c r="EV182" s="399">
        <v>232</v>
      </c>
      <c r="EW182" s="399"/>
      <c r="EX182" s="399"/>
      <c r="EY182" s="399"/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183</v>
      </c>
      <c r="B183" s="399" t="s">
        <v>956</v>
      </c>
      <c r="C183" s="399" t="s">
        <v>2328</v>
      </c>
      <c r="D183" s="399" t="s">
        <v>1824</v>
      </c>
      <c r="E183" s="399" t="s">
        <v>918</v>
      </c>
      <c r="F183" s="399" t="s">
        <v>1239</v>
      </c>
      <c r="G183" s="399" t="s">
        <v>1239</v>
      </c>
      <c r="H183" s="399" t="s">
        <v>1239</v>
      </c>
      <c r="I183" s="399" t="s">
        <v>1239</v>
      </c>
      <c r="J183" s="399" t="s">
        <v>2326</v>
      </c>
      <c r="K183" s="788">
        <v>44682</v>
      </c>
      <c r="L183" s="399">
        <v>0</v>
      </c>
      <c r="M183" s="399">
        <v>0</v>
      </c>
      <c r="N183" s="399">
        <v>22.956</v>
      </c>
      <c r="O183" s="399">
        <v>22.956</v>
      </c>
      <c r="P183" s="399">
        <v>22.956</v>
      </c>
      <c r="Q183" s="399">
        <v>22.956</v>
      </c>
      <c r="R183" s="399"/>
      <c r="S183" s="399">
        <v>395.23</v>
      </c>
      <c r="T183" s="399">
        <v>297.72000000000003</v>
      </c>
      <c r="U183" s="399"/>
      <c r="V183" s="399">
        <v>15907.360200000001</v>
      </c>
      <c r="W183" s="399">
        <v>15907.360200000001</v>
      </c>
      <c r="X183" s="399">
        <v>14098.427399999999</v>
      </c>
      <c r="Y183" s="399">
        <v>0</v>
      </c>
      <c r="Z183" s="399">
        <v>1391.4003101664493</v>
      </c>
      <c r="AA183" s="399">
        <v>0</v>
      </c>
      <c r="AB183" s="399">
        <v>0</v>
      </c>
      <c r="AC183" s="399">
        <v>0</v>
      </c>
      <c r="AD183" s="399">
        <v>2281.7690829194171</v>
      </c>
      <c r="AE183" s="399">
        <v>4594.5241895541421</v>
      </c>
      <c r="AF183" s="399">
        <v>6834.5488607452335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215.11809127422296</v>
      </c>
      <c r="AM183" s="399"/>
      <c r="AN183" s="399">
        <v>20.439722511951338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569.62567407348899</v>
      </c>
      <c r="BH183" s="399">
        <v>0</v>
      </c>
      <c r="BI183" s="399">
        <v>0</v>
      </c>
      <c r="BJ183" s="399">
        <v>0</v>
      </c>
      <c r="BK183" s="399">
        <v>4325.8900000000003</v>
      </c>
      <c r="BL183" s="399">
        <v>47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7404.1745348187223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14100.884</v>
      </c>
      <c r="CJ183" s="399">
        <v>-1806.5062000000016</v>
      </c>
      <c r="CK183" s="399"/>
      <c r="CL183" s="399"/>
      <c r="CM183" s="399"/>
      <c r="CN183" s="399"/>
      <c r="CO183" s="399">
        <v>-2102.310480000001</v>
      </c>
      <c r="CP183" s="399">
        <v>293.37767999999937</v>
      </c>
      <c r="CQ183" s="399">
        <v>31</v>
      </c>
      <c r="CR183" s="399">
        <v>566.18615452244558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-17.584564808504183</v>
      </c>
      <c r="DA183" s="399">
        <v>0</v>
      </c>
      <c r="DB183" s="399">
        <v>0</v>
      </c>
      <c r="DC183" s="399">
        <v>293.27311044784619</v>
      </c>
      <c r="DD183" s="399">
        <v>0</v>
      </c>
      <c r="DE183" s="399">
        <v>0</v>
      </c>
      <c r="DF183" s="399">
        <v>0</v>
      </c>
      <c r="DG183" s="399">
        <v>24.442855941227435</v>
      </c>
      <c r="DH183" s="399">
        <v>0</v>
      </c>
      <c r="DI183" s="399">
        <v>232.28996509600597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31.328317965448321</v>
      </c>
      <c r="DP183" s="399">
        <v>2.436469880421793</v>
      </c>
      <c r="DQ183" s="399">
        <v>0</v>
      </c>
      <c r="DR183" s="399">
        <v>0</v>
      </c>
      <c r="DS183" s="399"/>
      <c r="DT183" s="399"/>
      <c r="DU183" s="399"/>
      <c r="DV183" s="399">
        <v>4594.5241895541421</v>
      </c>
      <c r="DW183" s="399">
        <v>0</v>
      </c>
      <c r="DX183" s="399">
        <v>0</v>
      </c>
      <c r="DY183" s="399">
        <v>-2102.3104800000019</v>
      </c>
      <c r="DZ183" s="399">
        <v>293.3776799999996</v>
      </c>
      <c r="EA183" s="399">
        <v>0</v>
      </c>
      <c r="EB183" s="399">
        <v>0</v>
      </c>
      <c r="EC183" s="399">
        <v>-2375.3048330963502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232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184</v>
      </c>
      <c r="B184" s="399" t="s">
        <v>956</v>
      </c>
      <c r="C184" s="399" t="s">
        <v>2328</v>
      </c>
      <c r="D184" s="399" t="s">
        <v>2335</v>
      </c>
      <c r="E184" s="399" t="s">
        <v>894</v>
      </c>
      <c r="F184" s="399" t="s">
        <v>1239</v>
      </c>
      <c r="G184" s="399" t="s">
        <v>1239</v>
      </c>
      <c r="H184" s="399" t="s">
        <v>1239</v>
      </c>
      <c r="I184" s="399" t="s">
        <v>1239</v>
      </c>
      <c r="J184" s="399" t="s">
        <v>2326</v>
      </c>
      <c r="K184" s="788">
        <v>44682</v>
      </c>
      <c r="L184" s="399">
        <v>0</v>
      </c>
      <c r="M184" s="399">
        <v>0</v>
      </c>
      <c r="N184" s="399">
        <v>409.298</v>
      </c>
      <c r="O184" s="399">
        <v>409.298</v>
      </c>
      <c r="P184" s="399">
        <v>409.298</v>
      </c>
      <c r="Q184" s="399">
        <v>409.298</v>
      </c>
      <c r="R184" s="399"/>
      <c r="S184" s="399">
        <v>395.23</v>
      </c>
      <c r="T184" s="399">
        <v>297.72000000000003</v>
      </c>
      <c r="U184" s="399"/>
      <c r="V184" s="399">
        <v>283623.0491</v>
      </c>
      <c r="W184" s="399">
        <v>283623.0491</v>
      </c>
      <c r="X184" s="399">
        <v>251370.36669999998</v>
      </c>
      <c r="Y184" s="399">
        <v>0</v>
      </c>
      <c r="Z184" s="399">
        <v>24808.214155362755</v>
      </c>
      <c r="AA184" s="399">
        <v>0</v>
      </c>
      <c r="AB184" s="399">
        <v>0</v>
      </c>
      <c r="AC184" s="399">
        <v>0</v>
      </c>
      <c r="AD184" s="399">
        <v>40683.199255129446</v>
      </c>
      <c r="AE184" s="399">
        <v>81918.869216593972</v>
      </c>
      <c r="AF184" s="399">
        <v>121857.77921263734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3835.4854731816044</v>
      </c>
      <c r="AM184" s="399"/>
      <c r="AN184" s="399">
        <v>364.43359229380815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10156.240161479827</v>
      </c>
      <c r="BH184" s="399">
        <v>0</v>
      </c>
      <c r="BI184" s="399">
        <v>0.68</v>
      </c>
      <c r="BJ184" s="399">
        <v>3.18</v>
      </c>
      <c r="BK184" s="399">
        <v>56036.27</v>
      </c>
      <c r="BL184" s="399">
        <v>947</v>
      </c>
      <c r="BM184" s="399"/>
      <c r="BN184" s="399"/>
      <c r="BO184" s="399"/>
      <c r="BP184" s="399"/>
      <c r="BQ184" s="399"/>
      <c r="BR184" s="399">
        <v>30165.262599999995</v>
      </c>
      <c r="BS184" s="399"/>
      <c r="BT184" s="399"/>
      <c r="BU184" s="399"/>
      <c r="BV184" s="399">
        <v>132014.01937411717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221206.185</v>
      </c>
      <c r="CJ184" s="399">
        <v>-28383.765400000033</v>
      </c>
      <c r="CK184" s="399"/>
      <c r="CL184" s="399"/>
      <c r="CM184" s="399"/>
      <c r="CN184" s="399"/>
      <c r="CO184" s="399">
        <v>-37483.510840000017</v>
      </c>
      <c r="CP184" s="399">
        <v>5230.8284399999884</v>
      </c>
      <c r="CQ184" s="399">
        <v>31</v>
      </c>
      <c r="CR184" s="399">
        <v>10094.914648620266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-313.52706076804316</v>
      </c>
      <c r="DA184" s="399">
        <v>0</v>
      </c>
      <c r="DB184" s="399">
        <v>0</v>
      </c>
      <c r="DC184" s="399">
        <v>5228.9639989581046</v>
      </c>
      <c r="DD184" s="399">
        <v>0</v>
      </c>
      <c r="DE184" s="399">
        <v>0</v>
      </c>
      <c r="DF184" s="399">
        <v>0</v>
      </c>
      <c r="DG184" s="399">
        <v>435.80815695384626</v>
      </c>
      <c r="DH184" s="399">
        <v>0</v>
      </c>
      <c r="DI184" s="399">
        <v>4141.6543881279431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558.57370128167213</v>
      </c>
      <c r="DP184" s="399">
        <v>43.441464066774643</v>
      </c>
      <c r="DQ184" s="399">
        <v>0</v>
      </c>
      <c r="DR184" s="399">
        <v>0</v>
      </c>
      <c r="DS184" s="399"/>
      <c r="DT184" s="399"/>
      <c r="DU184" s="399"/>
      <c r="DV184" s="399">
        <v>81918.869216593972</v>
      </c>
      <c r="DW184" s="399">
        <v>0</v>
      </c>
      <c r="DX184" s="399">
        <v>0</v>
      </c>
      <c r="DY184" s="399">
        <v>-37483.510840000017</v>
      </c>
      <c r="DZ184" s="399">
        <v>5230.8284399999829</v>
      </c>
      <c r="EA184" s="399">
        <v>0</v>
      </c>
      <c r="EB184" s="399">
        <v>0</v>
      </c>
      <c r="EC184" s="399">
        <v>-42350.911203026219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232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185</v>
      </c>
      <c r="B185" s="399" t="s">
        <v>2330</v>
      </c>
      <c r="C185" s="399" t="s">
        <v>2328</v>
      </c>
      <c r="D185" s="399" t="s">
        <v>2335</v>
      </c>
      <c r="E185" s="399" t="s">
        <v>894</v>
      </c>
      <c r="F185" s="399" t="s">
        <v>1239</v>
      </c>
      <c r="G185" s="399" t="s">
        <v>1239</v>
      </c>
      <c r="H185" s="399" t="s">
        <v>1239</v>
      </c>
      <c r="I185" s="399" t="s">
        <v>1239</v>
      </c>
      <c r="J185" s="399" t="s">
        <v>2326</v>
      </c>
      <c r="K185" s="788">
        <v>44682</v>
      </c>
      <c r="L185" s="399">
        <v>0</v>
      </c>
      <c r="M185" s="399">
        <v>0</v>
      </c>
      <c r="N185" s="399">
        <v>45.146999999999998</v>
      </c>
      <c r="O185" s="399">
        <v>45.146999999999998</v>
      </c>
      <c r="P185" s="399">
        <v>45.146999999999998</v>
      </c>
      <c r="Q185" s="399">
        <v>45.146999999999998</v>
      </c>
      <c r="R185" s="399"/>
      <c r="S185" s="399">
        <v>395.23</v>
      </c>
      <c r="T185" s="399">
        <v>297.72000000000003</v>
      </c>
      <c r="U185" s="399"/>
      <c r="V185" s="399">
        <v>31284.613650000003</v>
      </c>
      <c r="W185" s="399">
        <v>31284.613650000003</v>
      </c>
      <c r="X185" s="399">
        <v>27727.030050000001</v>
      </c>
      <c r="Y185" s="399">
        <v>0</v>
      </c>
      <c r="Z185" s="399">
        <v>2736.4327323176813</v>
      </c>
      <c r="AA185" s="399">
        <v>0</v>
      </c>
      <c r="AB185" s="399">
        <v>0</v>
      </c>
      <c r="AC185" s="399">
        <v>0</v>
      </c>
      <c r="AD185" s="399">
        <v>4487.4990759088223</v>
      </c>
      <c r="AE185" s="399">
        <v>9035.9376017512132</v>
      </c>
      <c r="AF185" s="399">
        <v>13441.338970903687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423.06745368345287</v>
      </c>
      <c r="AM185" s="399"/>
      <c r="AN185" s="399">
        <v>40.198299017558249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1120.2687884385698</v>
      </c>
      <c r="BH185" s="399">
        <v>0</v>
      </c>
      <c r="BI185" s="399">
        <v>0</v>
      </c>
      <c r="BJ185" s="399">
        <v>0</v>
      </c>
      <c r="BK185" s="399">
        <v>14827.1</v>
      </c>
      <c r="BL185" s="399">
        <v>25</v>
      </c>
      <c r="BM185" s="399"/>
      <c r="BN185" s="399"/>
      <c r="BO185" s="399"/>
      <c r="BP185" s="399"/>
      <c r="BQ185" s="399"/>
      <c r="BR185" s="399">
        <v>3327.3338999999996</v>
      </c>
      <c r="BS185" s="399"/>
      <c r="BT185" s="399"/>
      <c r="BU185" s="399"/>
      <c r="BV185" s="399">
        <v>14561.607759342258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24401.317499999997</v>
      </c>
      <c r="CJ185" s="399">
        <v>-3129.3531000000003</v>
      </c>
      <c r="CK185" s="399"/>
      <c r="CL185" s="399"/>
      <c r="CM185" s="399"/>
      <c r="CN185" s="399"/>
      <c r="CO185" s="399">
        <v>-4134.5622600000015</v>
      </c>
      <c r="CP185" s="399">
        <v>576.97865999999874</v>
      </c>
      <c r="CQ185" s="399">
        <v>31</v>
      </c>
      <c r="CR185" s="399">
        <v>1113.504370021994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-34.583130659067137</v>
      </c>
      <c r="DA185" s="399">
        <v>0</v>
      </c>
      <c r="DB185" s="399">
        <v>0</v>
      </c>
      <c r="DC185" s="399">
        <v>576.7730056363871</v>
      </c>
      <c r="DD185" s="399">
        <v>0</v>
      </c>
      <c r="DE185" s="399">
        <v>0</v>
      </c>
      <c r="DF185" s="399">
        <v>0</v>
      </c>
      <c r="DG185" s="399">
        <v>48.071162971710919</v>
      </c>
      <c r="DH185" s="399">
        <v>0</v>
      </c>
      <c r="DI185" s="399">
        <v>456.83895513980588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61.612631607688456</v>
      </c>
      <c r="DP185" s="399">
        <v>4.7917453254662234</v>
      </c>
      <c r="DQ185" s="399">
        <v>0</v>
      </c>
      <c r="DR185" s="399">
        <v>0</v>
      </c>
      <c r="DS185" s="399"/>
      <c r="DT185" s="399"/>
      <c r="DU185" s="399"/>
      <c r="DV185" s="399">
        <v>9035.9376017512132</v>
      </c>
      <c r="DW185" s="399">
        <v>0</v>
      </c>
      <c r="DX185" s="399">
        <v>0</v>
      </c>
      <c r="DY185" s="399">
        <v>-4134.5622600000024</v>
      </c>
      <c r="DZ185" s="399">
        <v>576.97865999999885</v>
      </c>
      <c r="EA185" s="399">
        <v>0</v>
      </c>
      <c r="EB185" s="399">
        <v>0</v>
      </c>
      <c r="EC185" s="399">
        <v>-4671.453532836771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232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186</v>
      </c>
      <c r="B186" s="399" t="s">
        <v>956</v>
      </c>
      <c r="C186" s="399" t="s">
        <v>2328</v>
      </c>
      <c r="D186" s="399" t="s">
        <v>1824</v>
      </c>
      <c r="E186" s="399" t="s">
        <v>2336</v>
      </c>
      <c r="F186" s="399" t="s">
        <v>1239</v>
      </c>
      <c r="G186" s="399" t="s">
        <v>1239</v>
      </c>
      <c r="H186" s="399" t="s">
        <v>1239</v>
      </c>
      <c r="I186" s="399" t="s">
        <v>1239</v>
      </c>
      <c r="J186" s="399" t="s">
        <v>2326</v>
      </c>
      <c r="K186" s="788">
        <v>44682</v>
      </c>
      <c r="L186" s="399">
        <v>0</v>
      </c>
      <c r="M186" s="399">
        <v>0</v>
      </c>
      <c r="N186" s="399">
        <v>0.86399999999999999</v>
      </c>
      <c r="O186" s="399">
        <v>0.86399999999999999</v>
      </c>
      <c r="P186" s="399">
        <v>0.86399999999999999</v>
      </c>
      <c r="Q186" s="399">
        <v>0.86399999999999999</v>
      </c>
      <c r="R186" s="399"/>
      <c r="S186" s="399">
        <v>395.23</v>
      </c>
      <c r="T186" s="399">
        <v>297.72000000000003</v>
      </c>
      <c r="U186" s="399"/>
      <c r="V186" s="399">
        <v>598.70880000000011</v>
      </c>
      <c r="W186" s="399">
        <v>598.70880000000011</v>
      </c>
      <c r="X186" s="399">
        <v>530.62559999999996</v>
      </c>
      <c r="Y186" s="399">
        <v>0</v>
      </c>
      <c r="Z186" s="399">
        <v>52.368438228951575</v>
      </c>
      <c r="AA186" s="399">
        <v>0</v>
      </c>
      <c r="AB186" s="399">
        <v>0</v>
      </c>
      <c r="AC186" s="399">
        <v>0</v>
      </c>
      <c r="AD186" s="399">
        <v>85.879442744484066</v>
      </c>
      <c r="AE186" s="399">
        <v>172.92511325033885</v>
      </c>
      <c r="AF186" s="399">
        <v>257.23341242742123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8.096446718109803</v>
      </c>
      <c r="AM186" s="399"/>
      <c r="AN186" s="399">
        <v>0.7692943130478288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21.439126258908107</v>
      </c>
      <c r="BH186" s="399">
        <v>0</v>
      </c>
      <c r="BI186" s="399">
        <v>0</v>
      </c>
      <c r="BJ186" s="399">
        <v>0</v>
      </c>
      <c r="BK186" s="399">
        <v>171.33</v>
      </c>
      <c r="BL186" s="399">
        <v>17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278.67253868632935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528.16899999999987</v>
      </c>
      <c r="CJ186" s="399">
        <v>-70.569800000000214</v>
      </c>
      <c r="CK186" s="399"/>
      <c r="CL186" s="399"/>
      <c r="CM186" s="399"/>
      <c r="CN186" s="399"/>
      <c r="CO186" s="399">
        <v>-79.125120000000038</v>
      </c>
      <c r="CP186" s="399">
        <v>11.041919999999976</v>
      </c>
      <c r="CQ186" s="399">
        <v>31</v>
      </c>
      <c r="CR186" s="399">
        <v>21.30967230821534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-0.66183411720454899</v>
      </c>
      <c r="DA186" s="399">
        <v>0</v>
      </c>
      <c r="DB186" s="399">
        <v>0</v>
      </c>
      <c r="DC186" s="399">
        <v>11.03798429286195</v>
      </c>
      <c r="DD186" s="399">
        <v>0</v>
      </c>
      <c r="DE186" s="399">
        <v>0</v>
      </c>
      <c r="DF186" s="399">
        <v>0</v>
      </c>
      <c r="DG186" s="399">
        <v>0.91996112272262209</v>
      </c>
      <c r="DH186" s="399">
        <v>0</v>
      </c>
      <c r="DI186" s="399">
        <v>8.7427482942563657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1.1791107650351691</v>
      </c>
      <c r="DP186" s="399">
        <v>9.1701950543841559E-2</v>
      </c>
      <c r="DQ186" s="399">
        <v>0</v>
      </c>
      <c r="DR186" s="399">
        <v>0</v>
      </c>
      <c r="DS186" s="399"/>
      <c r="DT186" s="399"/>
      <c r="DU186" s="399"/>
      <c r="DV186" s="399">
        <v>172.92511325033885</v>
      </c>
      <c r="DW186" s="399">
        <v>0</v>
      </c>
      <c r="DX186" s="399">
        <v>0</v>
      </c>
      <c r="DY186" s="399">
        <v>-79.125120000000038</v>
      </c>
      <c r="DZ186" s="399">
        <v>11.041919999999948</v>
      </c>
      <c r="EA186" s="399">
        <v>0</v>
      </c>
      <c r="EB186" s="399">
        <v>0</v>
      </c>
      <c r="EC186" s="399">
        <v>-89.399868260814003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232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187</v>
      </c>
      <c r="B187" s="399" t="s">
        <v>956</v>
      </c>
      <c r="C187" s="399" t="s">
        <v>2328</v>
      </c>
      <c r="D187" s="399" t="s">
        <v>2337</v>
      </c>
      <c r="E187" s="399" t="s">
        <v>2338</v>
      </c>
      <c r="F187" s="399" t="s">
        <v>2339</v>
      </c>
      <c r="G187" s="399" t="s">
        <v>1239</v>
      </c>
      <c r="H187" s="399" t="s">
        <v>1239</v>
      </c>
      <c r="I187" s="399" t="s">
        <v>1239</v>
      </c>
      <c r="J187" s="399" t="s">
        <v>2326</v>
      </c>
      <c r="K187" s="788">
        <v>44682</v>
      </c>
      <c r="L187" s="399">
        <v>0</v>
      </c>
      <c r="M187" s="399">
        <v>0</v>
      </c>
      <c r="N187" s="399">
        <v>21.184000000000001</v>
      </c>
      <c r="O187" s="399">
        <v>21.184000000000001</v>
      </c>
      <c r="P187" s="399">
        <v>21.184000000000001</v>
      </c>
      <c r="Q187" s="399">
        <v>21.184000000000001</v>
      </c>
      <c r="R187" s="399"/>
      <c r="S187" s="399">
        <v>217.38</v>
      </c>
      <c r="T187" s="399">
        <v>163.75</v>
      </c>
      <c r="U187" s="399"/>
      <c r="V187" s="399">
        <v>8073.8579200000004</v>
      </c>
      <c r="W187" s="399">
        <v>8073.8579200000004</v>
      </c>
      <c r="X187" s="399">
        <v>7155.5315200000005</v>
      </c>
      <c r="Y187" s="399">
        <v>0</v>
      </c>
      <c r="Z187" s="399">
        <v>706.19808737634344</v>
      </c>
      <c r="AA187" s="399">
        <v>0</v>
      </c>
      <c r="AB187" s="399">
        <v>0</v>
      </c>
      <c r="AC187" s="399">
        <v>0</v>
      </c>
      <c r="AD187" s="399">
        <v>1158.1001890098757</v>
      </c>
      <c r="AE187" s="399">
        <v>2331.9271753499429</v>
      </c>
      <c r="AF187" s="399">
        <v>3468.8402024008897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109.18208333569545</v>
      </c>
      <c r="AM187" s="399"/>
      <c r="AN187" s="399">
        <v>10.374076273359785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289.11058780994239</v>
      </c>
      <c r="BH187" s="399">
        <v>0</v>
      </c>
      <c r="BI187" s="399">
        <v>0</v>
      </c>
      <c r="BJ187" s="399">
        <v>0</v>
      </c>
      <c r="BK187" s="399">
        <v>2385.17</v>
      </c>
      <c r="BL187" s="399">
        <v>1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3757.9507902108321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7154.1804000000002</v>
      </c>
      <c r="CJ187" s="399">
        <v>-919.70752000000084</v>
      </c>
      <c r="CK187" s="399"/>
      <c r="CL187" s="399"/>
      <c r="CM187" s="399"/>
      <c r="CN187" s="399"/>
      <c r="CO187" s="399">
        <v>-1067.03808</v>
      </c>
      <c r="CP187" s="399">
        <v>148.71168000000023</v>
      </c>
      <c r="CQ187" s="399">
        <v>31</v>
      </c>
      <c r="CR187" s="399">
        <v>287.36487731190209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-8.9249556323763954</v>
      </c>
      <c r="DA187" s="399">
        <v>0</v>
      </c>
      <c r="DB187" s="399">
        <v>0</v>
      </c>
      <c r="DC187" s="399">
        <v>148.84926226041398</v>
      </c>
      <c r="DD187" s="399">
        <v>0</v>
      </c>
      <c r="DE187" s="399">
        <v>0</v>
      </c>
      <c r="DF187" s="399">
        <v>0</v>
      </c>
      <c r="DG187" s="399">
        <v>12.40584610308548</v>
      </c>
      <c r="DH187" s="399">
        <v>0</v>
      </c>
      <c r="DI187" s="399">
        <v>117.89757977550823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15.900527020345152</v>
      </c>
      <c r="DP187" s="399">
        <v>1.2366177849264073</v>
      </c>
      <c r="DQ187" s="399">
        <v>0</v>
      </c>
      <c r="DR187" s="399">
        <v>0</v>
      </c>
      <c r="DS187" s="399"/>
      <c r="DT187" s="399"/>
      <c r="DU187" s="399"/>
      <c r="DV187" s="399">
        <v>2331.9271753499429</v>
      </c>
      <c r="DW187" s="399">
        <v>0</v>
      </c>
      <c r="DX187" s="399">
        <v>0</v>
      </c>
      <c r="DY187" s="399">
        <v>-1067.0380800000003</v>
      </c>
      <c r="DZ187" s="399">
        <v>148.71168000000034</v>
      </c>
      <c r="EA187" s="399">
        <v>0</v>
      </c>
      <c r="EB187" s="399">
        <v>0</v>
      </c>
      <c r="EC187" s="399">
        <v>-1205.5737790282387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232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188</v>
      </c>
      <c r="B188" s="399" t="s">
        <v>956</v>
      </c>
      <c r="C188" s="399" t="s">
        <v>2328</v>
      </c>
      <c r="D188" s="399" t="s">
        <v>1824</v>
      </c>
      <c r="E188" s="399" t="s">
        <v>921</v>
      </c>
      <c r="F188" s="399" t="s">
        <v>2327</v>
      </c>
      <c r="G188" s="399" t="s">
        <v>1239</v>
      </c>
      <c r="H188" s="399" t="s">
        <v>1239</v>
      </c>
      <c r="I188" s="399" t="s">
        <v>1239</v>
      </c>
      <c r="J188" s="399" t="s">
        <v>2326</v>
      </c>
      <c r="K188" s="788">
        <v>44682</v>
      </c>
      <c r="L188" s="399">
        <v>0</v>
      </c>
      <c r="M188" s="399">
        <v>0</v>
      </c>
      <c r="N188" s="399">
        <v>0.31900000000000001</v>
      </c>
      <c r="O188" s="399">
        <v>0.29986000000000002</v>
      </c>
      <c r="P188" s="399">
        <v>0.31900000000000001</v>
      </c>
      <c r="Q188" s="399">
        <v>0.29986000000000002</v>
      </c>
      <c r="R188" s="399"/>
      <c r="S188" s="399">
        <v>395.23</v>
      </c>
      <c r="T188" s="399">
        <v>297.72000000000003</v>
      </c>
      <c r="U188" s="399"/>
      <c r="V188" s="399">
        <v>221.05105000000003</v>
      </c>
      <c r="W188" s="399">
        <v>221.05105000000003</v>
      </c>
      <c r="X188" s="399">
        <v>195.91384999999997</v>
      </c>
      <c r="Y188" s="399">
        <v>0</v>
      </c>
      <c r="Z188" s="399">
        <v>19.33510624425411</v>
      </c>
      <c r="AA188" s="399">
        <v>0</v>
      </c>
      <c r="AB188" s="399">
        <v>0</v>
      </c>
      <c r="AC188" s="399">
        <v>0</v>
      </c>
      <c r="AD188" s="399">
        <v>31.707803513299098</v>
      </c>
      <c r="AE188" s="399">
        <v>63.84619343386354</v>
      </c>
      <c r="AF188" s="399">
        <v>94.973910375402056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2.989313082265078</v>
      </c>
      <c r="AM188" s="399"/>
      <c r="AN188" s="399">
        <v>0.28403343271094605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7.9156033293885253</v>
      </c>
      <c r="BH188" s="399">
        <v>0</v>
      </c>
      <c r="BI188" s="399">
        <v>0</v>
      </c>
      <c r="BJ188" s="399">
        <v>0</v>
      </c>
      <c r="BK188" s="399">
        <v>63.27</v>
      </c>
      <c r="BL188" s="399">
        <v>2</v>
      </c>
      <c r="BM188" s="399"/>
      <c r="BN188" s="399"/>
      <c r="BO188" s="399"/>
      <c r="BP188" s="399"/>
      <c r="BQ188" s="399">
        <v>11.754830999999994</v>
      </c>
      <c r="BR188" s="399"/>
      <c r="BS188" s="399"/>
      <c r="BT188" s="399"/>
      <c r="BU188" s="399"/>
      <c r="BV188" s="399">
        <v>102.88951370479059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184.24499999999998</v>
      </c>
      <c r="CJ188" s="399">
        <v>-23.57298700000004</v>
      </c>
      <c r="CK188" s="399"/>
      <c r="CL188" s="399"/>
      <c r="CM188" s="399"/>
      <c r="CN188" s="399"/>
      <c r="CO188" s="399">
        <v>-29.214020000000012</v>
      </c>
      <c r="CP188" s="399">
        <v>4.0768199999999917</v>
      </c>
      <c r="CQ188" s="399">
        <v>31</v>
      </c>
      <c r="CR188" s="399">
        <v>7.8678072526860205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-0.24435773540307082</v>
      </c>
      <c r="DA188" s="399">
        <v>0</v>
      </c>
      <c r="DB188" s="399">
        <v>0</v>
      </c>
      <c r="DC188" s="399">
        <v>4.075366885906206</v>
      </c>
      <c r="DD188" s="399">
        <v>0</v>
      </c>
      <c r="DE188" s="399">
        <v>0</v>
      </c>
      <c r="DF188" s="399">
        <v>0</v>
      </c>
      <c r="DG188" s="399">
        <v>0.33966157193115354</v>
      </c>
      <c r="DH188" s="399">
        <v>0</v>
      </c>
      <c r="DI188" s="399">
        <v>3.2279360021617833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0.43534297922016085</v>
      </c>
      <c r="DP188" s="399">
        <v>3.3857548869774878E-2</v>
      </c>
      <c r="DQ188" s="399">
        <v>0</v>
      </c>
      <c r="DR188" s="399">
        <v>0</v>
      </c>
      <c r="DS188" s="399"/>
      <c r="DT188" s="399"/>
      <c r="DU188" s="399"/>
      <c r="DV188" s="399">
        <v>63.84619343386354</v>
      </c>
      <c r="DW188" s="399">
        <v>0</v>
      </c>
      <c r="DX188" s="399">
        <v>0</v>
      </c>
      <c r="DY188" s="399">
        <v>-29.214020000000019</v>
      </c>
      <c r="DZ188" s="399">
        <v>4.0768199999999837</v>
      </c>
      <c r="EA188" s="399">
        <v>0</v>
      </c>
      <c r="EB188" s="399">
        <v>0</v>
      </c>
      <c r="EC188" s="399">
        <v>-33.007590249073694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232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189</v>
      </c>
      <c r="B189" s="399" t="s">
        <v>956</v>
      </c>
      <c r="C189" s="399" t="s">
        <v>2328</v>
      </c>
      <c r="D189" s="399" t="s">
        <v>2335</v>
      </c>
      <c r="E189" s="399" t="s">
        <v>894</v>
      </c>
      <c r="F189" s="399" t="s">
        <v>2367</v>
      </c>
      <c r="G189" s="399" t="s">
        <v>2368</v>
      </c>
      <c r="H189" s="399" t="s">
        <v>1239</v>
      </c>
      <c r="I189" s="399" t="s">
        <v>1239</v>
      </c>
      <c r="J189" s="399" t="s">
        <v>2326</v>
      </c>
      <c r="K189" s="788">
        <v>44682</v>
      </c>
      <c r="L189" s="399">
        <v>0</v>
      </c>
      <c r="M189" s="399">
        <v>0</v>
      </c>
      <c r="N189" s="399">
        <v>0</v>
      </c>
      <c r="O189" s="399">
        <v>0</v>
      </c>
      <c r="P189" s="399">
        <v>0</v>
      </c>
      <c r="Q189" s="399">
        <v>0</v>
      </c>
      <c r="R189" s="399"/>
      <c r="S189" s="399"/>
      <c r="T189" s="399"/>
      <c r="U189" s="399"/>
      <c r="V189" s="399"/>
      <c r="W189" s="399"/>
      <c r="X189" s="399"/>
      <c r="Y189" s="399"/>
      <c r="Z189" s="399"/>
      <c r="AA189" s="399">
        <v>0</v>
      </c>
      <c r="AB189" s="399"/>
      <c r="AC189" s="399"/>
      <c r="AD189" s="399"/>
      <c r="AE189" s="399"/>
      <c r="AF189" s="399"/>
      <c r="AG189" s="399"/>
      <c r="AH189" s="399"/>
      <c r="AI189" s="399"/>
      <c r="AJ189" s="399"/>
      <c r="AK189" s="399"/>
      <c r="AL189" s="399"/>
      <c r="AM189" s="399"/>
      <c r="AN189" s="399"/>
      <c r="AO189" s="399"/>
      <c r="AP189" s="399"/>
      <c r="AQ189" s="399"/>
      <c r="AR189" s="399"/>
      <c r="AS189" s="399"/>
      <c r="AT189" s="399"/>
      <c r="AU189" s="399"/>
      <c r="AV189" s="399"/>
      <c r="AW189" s="399"/>
      <c r="AX189" s="399"/>
      <c r="AY189" s="399"/>
      <c r="AZ189" s="399">
        <v>0</v>
      </c>
      <c r="BA189" s="399"/>
      <c r="BB189" s="399"/>
      <c r="BC189" s="399"/>
      <c r="BD189" s="399"/>
      <c r="BE189" s="399"/>
      <c r="BF189" s="399"/>
      <c r="BG189" s="399"/>
      <c r="BH189" s="399"/>
      <c r="BI189" s="399">
        <v>0</v>
      </c>
      <c r="BJ189" s="399">
        <v>0</v>
      </c>
      <c r="BK189" s="399">
        <v>8.11</v>
      </c>
      <c r="BL189" s="399">
        <v>1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/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/>
      <c r="CJ189" s="399">
        <v>-0.03</v>
      </c>
      <c r="CK189" s="399"/>
      <c r="CL189" s="399"/>
      <c r="CM189" s="399"/>
      <c r="CN189" s="399"/>
      <c r="CO189" s="399">
        <v>0</v>
      </c>
      <c r="CP189" s="399">
        <v>0</v>
      </c>
      <c r="CQ189" s="399">
        <v>31</v>
      </c>
      <c r="CR189" s="399"/>
      <c r="CS189" s="399"/>
      <c r="CT189" s="399"/>
      <c r="CU189" s="399"/>
      <c r="CV189" s="399"/>
      <c r="CW189" s="399"/>
      <c r="CX189" s="399"/>
      <c r="CY189" s="399"/>
      <c r="CZ189" s="399"/>
      <c r="DA189" s="399"/>
      <c r="DB189" s="399"/>
      <c r="DC189" s="399"/>
      <c r="DD189" s="399"/>
      <c r="DE189" s="399"/>
      <c r="DF189" s="399"/>
      <c r="DG189" s="399"/>
      <c r="DH189" s="399"/>
      <c r="DI189" s="399"/>
      <c r="DJ189" s="399"/>
      <c r="DK189" s="399">
        <v>0</v>
      </c>
      <c r="DL189" s="399"/>
      <c r="DM189" s="399"/>
      <c r="DN189" s="399"/>
      <c r="DO189" s="399"/>
      <c r="DP189" s="399"/>
      <c r="DQ189" s="399"/>
      <c r="DR189" s="399"/>
      <c r="DS189" s="399"/>
      <c r="DT189" s="399"/>
      <c r="DU189" s="399"/>
      <c r="DV189" s="399"/>
      <c r="DW189" s="399"/>
      <c r="DX189" s="399"/>
      <c r="DY189" s="399"/>
      <c r="DZ189" s="399"/>
      <c r="EA189" s="399"/>
      <c r="EB189" s="399"/>
      <c r="EC189" s="399"/>
      <c r="ED189" s="399"/>
      <c r="EE189" s="399"/>
      <c r="EF189" s="399"/>
      <c r="EG189" s="399"/>
      <c r="EH189" s="399"/>
      <c r="EI189" s="399"/>
      <c r="EJ189" s="399"/>
      <c r="EK189" s="399"/>
      <c r="EL189" s="399"/>
      <c r="EM189" s="399"/>
      <c r="EN189" s="399"/>
      <c r="EO189" s="399"/>
      <c r="EP189" s="399"/>
      <c r="EQ189" s="399"/>
      <c r="ER189" s="399"/>
      <c r="ES189" s="399"/>
      <c r="ET189" s="399"/>
      <c r="EU189" s="399"/>
      <c r="EV189" s="399">
        <v>232</v>
      </c>
      <c r="EW189" s="399"/>
      <c r="EX189" s="399"/>
      <c r="EY189" s="399"/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190</v>
      </c>
      <c r="B190" s="399" t="s">
        <v>956</v>
      </c>
      <c r="C190" s="399" t="s">
        <v>2328</v>
      </c>
      <c r="D190" s="399" t="s">
        <v>2335</v>
      </c>
      <c r="E190" s="399" t="s">
        <v>894</v>
      </c>
      <c r="F190" s="399" t="s">
        <v>2367</v>
      </c>
      <c r="G190" s="399" t="s">
        <v>2368</v>
      </c>
      <c r="H190" s="399" t="s">
        <v>1239</v>
      </c>
      <c r="I190" s="399" t="s">
        <v>1239</v>
      </c>
      <c r="J190" s="399" t="s">
        <v>2326</v>
      </c>
      <c r="K190" s="788">
        <v>44682</v>
      </c>
      <c r="L190" s="399">
        <v>0</v>
      </c>
      <c r="M190" s="399">
        <v>0</v>
      </c>
      <c r="N190" s="399">
        <v>0.1</v>
      </c>
      <c r="O190" s="399">
        <v>0.1</v>
      </c>
      <c r="P190" s="399">
        <v>0.1</v>
      </c>
      <c r="Q190" s="399">
        <v>0.1</v>
      </c>
      <c r="R190" s="399"/>
      <c r="S190" s="399">
        <v>395.23</v>
      </c>
      <c r="T190" s="399">
        <v>297.72000000000003</v>
      </c>
      <c r="U190" s="399"/>
      <c r="V190" s="399">
        <v>69.295000000000016</v>
      </c>
      <c r="W190" s="399">
        <v>69.295000000000016</v>
      </c>
      <c r="X190" s="399">
        <v>61.414999999999999</v>
      </c>
      <c r="Y190" s="399">
        <v>0</v>
      </c>
      <c r="Z190" s="399">
        <v>6.0611618320545801</v>
      </c>
      <c r="AA190" s="399">
        <v>0</v>
      </c>
      <c r="AB190" s="399">
        <v>0</v>
      </c>
      <c r="AC190" s="399">
        <v>0</v>
      </c>
      <c r="AD190" s="399">
        <v>9.9397503176486204</v>
      </c>
      <c r="AE190" s="399">
        <v>20.014480700270703</v>
      </c>
      <c r="AF190" s="399">
        <v>29.772385697618201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0.937088740521968</v>
      </c>
      <c r="AM190" s="399"/>
      <c r="AN190" s="399">
        <v>8.9038693639794997E-2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2.4813803540402901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/>
      <c r="BR190" s="399">
        <v>8.5849999999999973</v>
      </c>
      <c r="BS190" s="399"/>
      <c r="BT190" s="399"/>
      <c r="BU190" s="399"/>
      <c r="BV190" s="399">
        <v>32.253766051658488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52.83</v>
      </c>
      <c r="CJ190" s="399">
        <v>-6.5990000000000038</v>
      </c>
      <c r="CK190" s="399"/>
      <c r="CL190" s="399"/>
      <c r="CM190" s="399"/>
      <c r="CN190" s="399"/>
      <c r="CO190" s="399">
        <v>-9.1580000000000048</v>
      </c>
      <c r="CP190" s="399">
        <v>1.2779999999999974</v>
      </c>
      <c r="CQ190" s="399">
        <v>31</v>
      </c>
      <c r="CR190" s="399">
        <v>2.4663972578952951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-7.6601170972748989E-2</v>
      </c>
      <c r="DA190" s="399">
        <v>0</v>
      </c>
      <c r="DB190" s="399">
        <v>0</v>
      </c>
      <c r="DC190" s="399">
        <v>1.2775444783405021</v>
      </c>
      <c r="DD190" s="399">
        <v>0</v>
      </c>
      <c r="DE190" s="399">
        <v>0</v>
      </c>
      <c r="DF190" s="399">
        <v>0</v>
      </c>
      <c r="DG190" s="399">
        <v>0.10647698179660026</v>
      </c>
      <c r="DH190" s="399">
        <v>0</v>
      </c>
      <c r="DI190" s="399">
        <v>1.0118921636870795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0.13647115336055216</v>
      </c>
      <c r="DP190" s="399">
        <v>1.0613651683315017E-2</v>
      </c>
      <c r="DQ190" s="399">
        <v>0</v>
      </c>
      <c r="DR190" s="399">
        <v>0</v>
      </c>
      <c r="DS190" s="399"/>
      <c r="DT190" s="399"/>
      <c r="DU190" s="399"/>
      <c r="DV190" s="399">
        <v>20.014480700270703</v>
      </c>
      <c r="DW190" s="399">
        <v>0</v>
      </c>
      <c r="DX190" s="399">
        <v>0</v>
      </c>
      <c r="DY190" s="399">
        <v>-9.1580000000000048</v>
      </c>
      <c r="DZ190" s="399">
        <v>1.2779999999999951</v>
      </c>
      <c r="EA190" s="399">
        <v>0</v>
      </c>
      <c r="EB190" s="399">
        <v>0</v>
      </c>
      <c r="EC190" s="399">
        <v>-10.347206974631252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232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192</v>
      </c>
      <c r="B191" s="399" t="s">
        <v>956</v>
      </c>
      <c r="C191" s="399" t="s">
        <v>2328</v>
      </c>
      <c r="D191" s="399" t="s">
        <v>1821</v>
      </c>
      <c r="E191" s="399" t="s">
        <v>889</v>
      </c>
      <c r="F191" s="399" t="s">
        <v>889</v>
      </c>
      <c r="G191" s="399" t="s">
        <v>1239</v>
      </c>
      <c r="H191" s="399" t="s">
        <v>1239</v>
      </c>
      <c r="I191" s="399" t="s">
        <v>1239</v>
      </c>
      <c r="J191" s="399" t="s">
        <v>2326</v>
      </c>
      <c r="K191" s="788">
        <v>44713</v>
      </c>
      <c r="L191" s="399">
        <v>0</v>
      </c>
      <c r="M191" s="399">
        <v>0</v>
      </c>
      <c r="N191" s="399">
        <v>36.295000000000002</v>
      </c>
      <c r="O191" s="399">
        <v>36.295000000000002</v>
      </c>
      <c r="P191" s="399">
        <v>36.295000000000002</v>
      </c>
      <c r="Q191" s="399">
        <v>36.295000000000002</v>
      </c>
      <c r="R191" s="399"/>
      <c r="S191" s="399">
        <v>395.23</v>
      </c>
      <c r="T191" s="399">
        <v>297.72000000000003</v>
      </c>
      <c r="U191" s="399"/>
      <c r="V191" s="399">
        <v>25150.620250000004</v>
      </c>
      <c r="W191" s="399">
        <v>25150.620250000004</v>
      </c>
      <c r="X191" s="399">
        <v>22290.574249999998</v>
      </c>
      <c r="Y191" s="399">
        <v>0</v>
      </c>
      <c r="Z191" s="399">
        <v>2199.8986869442101</v>
      </c>
      <c r="AA191" s="399">
        <v>0</v>
      </c>
      <c r="AB191" s="399">
        <v>0</v>
      </c>
      <c r="AC191" s="399">
        <v>0</v>
      </c>
      <c r="AD191" s="399">
        <v>3607.6323777905668</v>
      </c>
      <c r="AE191" s="399">
        <v>7264.2557701632513</v>
      </c>
      <c r="AF191" s="399">
        <v>10805.887388950527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340.1163583724483</v>
      </c>
      <c r="AM191" s="399"/>
      <c r="AN191" s="399">
        <v>32.316593856563593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900.61699949892329</v>
      </c>
      <c r="BH191" s="399">
        <v>0</v>
      </c>
      <c r="BI191" s="399">
        <v>0</v>
      </c>
      <c r="BJ191" s="399">
        <v>0</v>
      </c>
      <c r="BK191" s="399">
        <v>4261.6499999999996</v>
      </c>
      <c r="BL191" s="399">
        <v>262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11706.50438844945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22293.644999999997</v>
      </c>
      <c r="CJ191" s="399">
        <v>-2857.0052500000056</v>
      </c>
      <c r="CK191" s="399"/>
      <c r="CL191" s="399"/>
      <c r="CM191" s="399"/>
      <c r="CN191" s="399"/>
      <c r="CO191" s="399">
        <v>-3323.8961000000018</v>
      </c>
      <c r="CP191" s="399">
        <v>463.85009999999903</v>
      </c>
      <c r="CQ191" s="399">
        <v>30</v>
      </c>
      <c r="CR191" s="399">
        <v>895.17888475309519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-27.802395004559457</v>
      </c>
      <c r="DA191" s="399">
        <v>0</v>
      </c>
      <c r="DB191" s="399">
        <v>0</v>
      </c>
      <c r="DC191" s="399">
        <v>463.68476841368465</v>
      </c>
      <c r="DD191" s="399">
        <v>0</v>
      </c>
      <c r="DE191" s="399">
        <v>0</v>
      </c>
      <c r="DF191" s="399">
        <v>0</v>
      </c>
      <c r="DG191" s="399">
        <v>38.645820543075956</v>
      </c>
      <c r="DH191" s="399">
        <v>0</v>
      </c>
      <c r="DI191" s="399">
        <v>367.2662608102255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49.532205112212353</v>
      </c>
      <c r="DP191" s="399">
        <v>3.8522248784591824</v>
      </c>
      <c r="DQ191" s="399">
        <v>0</v>
      </c>
      <c r="DR191" s="399">
        <v>0</v>
      </c>
      <c r="DS191" s="399"/>
      <c r="DT191" s="399"/>
      <c r="DU191" s="399"/>
      <c r="DV191" s="399">
        <v>7264.2557701632513</v>
      </c>
      <c r="DW191" s="399">
        <v>0</v>
      </c>
      <c r="DX191" s="399">
        <v>0</v>
      </c>
      <c r="DY191" s="399">
        <v>-3323.8961000000018</v>
      </c>
      <c r="DZ191" s="399">
        <v>463.85009999999784</v>
      </c>
      <c r="EA191" s="399">
        <v>0</v>
      </c>
      <c r="EB191" s="399">
        <v>0</v>
      </c>
      <c r="EC191" s="399">
        <v>-3755.5187714424128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232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193</v>
      </c>
      <c r="B192" s="399" t="s">
        <v>2330</v>
      </c>
      <c r="C192" s="399" t="s">
        <v>2328</v>
      </c>
      <c r="D192" s="399" t="s">
        <v>1821</v>
      </c>
      <c r="E192" s="399" t="s">
        <v>889</v>
      </c>
      <c r="F192" s="399" t="s">
        <v>889</v>
      </c>
      <c r="G192" s="399" t="s">
        <v>1239</v>
      </c>
      <c r="H192" s="399" t="s">
        <v>1239</v>
      </c>
      <c r="I192" s="399" t="s">
        <v>1239</v>
      </c>
      <c r="J192" s="399" t="s">
        <v>2326</v>
      </c>
      <c r="K192" s="788">
        <v>44713</v>
      </c>
      <c r="L192" s="399">
        <v>0</v>
      </c>
      <c r="M192" s="399">
        <v>0</v>
      </c>
      <c r="N192" s="399">
        <v>0.1</v>
      </c>
      <c r="O192" s="399">
        <v>0.1</v>
      </c>
      <c r="P192" s="399">
        <v>0.1</v>
      </c>
      <c r="Q192" s="399">
        <v>0.1</v>
      </c>
      <c r="R192" s="399"/>
      <c r="S192" s="399">
        <v>395.23</v>
      </c>
      <c r="T192" s="399">
        <v>297.72000000000003</v>
      </c>
      <c r="U192" s="399"/>
      <c r="V192" s="399">
        <v>69.295000000000016</v>
      </c>
      <c r="W192" s="399">
        <v>69.295000000000016</v>
      </c>
      <c r="X192" s="399">
        <v>61.414999999999999</v>
      </c>
      <c r="Y192" s="399">
        <v>0</v>
      </c>
      <c r="Z192" s="399">
        <v>6.0611618320545801</v>
      </c>
      <c r="AA192" s="399">
        <v>0</v>
      </c>
      <c r="AB192" s="399">
        <v>0</v>
      </c>
      <c r="AC192" s="399">
        <v>0</v>
      </c>
      <c r="AD192" s="399">
        <v>9.9397503176486204</v>
      </c>
      <c r="AE192" s="399">
        <v>20.014480700270703</v>
      </c>
      <c r="AF192" s="399">
        <v>29.772385697618201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0.937088740521968</v>
      </c>
      <c r="AM192" s="399"/>
      <c r="AN192" s="399">
        <v>8.9038693639794997E-2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2.4813803540402901</v>
      </c>
      <c r="BH192" s="399">
        <v>0</v>
      </c>
      <c r="BI192" s="399">
        <v>0</v>
      </c>
      <c r="BJ192" s="399">
        <v>0</v>
      </c>
      <c r="BK192" s="399">
        <v>40.51</v>
      </c>
      <c r="BL192" s="399">
        <v>1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32.253766051658488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61.414999999999999</v>
      </c>
      <c r="CJ192" s="399">
        <v>-7.9100000000000037</v>
      </c>
      <c r="CK192" s="399"/>
      <c r="CL192" s="399"/>
      <c r="CM192" s="399"/>
      <c r="CN192" s="399"/>
      <c r="CO192" s="399">
        <v>-9.1580000000000048</v>
      </c>
      <c r="CP192" s="399">
        <v>1.2779999999999974</v>
      </c>
      <c r="CQ192" s="399">
        <v>30</v>
      </c>
      <c r="CR192" s="399">
        <v>2.4663972578952951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-7.6601170972748989E-2</v>
      </c>
      <c r="DA192" s="399">
        <v>0</v>
      </c>
      <c r="DB192" s="399">
        <v>0</v>
      </c>
      <c r="DC192" s="399">
        <v>1.2775444783405021</v>
      </c>
      <c r="DD192" s="399">
        <v>0</v>
      </c>
      <c r="DE192" s="399">
        <v>0</v>
      </c>
      <c r="DF192" s="399">
        <v>0</v>
      </c>
      <c r="DG192" s="399">
        <v>0.10647698179660026</v>
      </c>
      <c r="DH192" s="399">
        <v>0</v>
      </c>
      <c r="DI192" s="399">
        <v>1.0118921636870795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0.13647115336055216</v>
      </c>
      <c r="DP192" s="399">
        <v>1.0613651683315017E-2</v>
      </c>
      <c r="DQ192" s="399">
        <v>0</v>
      </c>
      <c r="DR192" s="399">
        <v>0</v>
      </c>
      <c r="DS192" s="399"/>
      <c r="DT192" s="399"/>
      <c r="DU192" s="399"/>
      <c r="DV192" s="399">
        <v>20.014480700270703</v>
      </c>
      <c r="DW192" s="399">
        <v>0</v>
      </c>
      <c r="DX192" s="399">
        <v>0</v>
      </c>
      <c r="DY192" s="399">
        <v>-9.1580000000000048</v>
      </c>
      <c r="DZ192" s="399">
        <v>1.2779999999999951</v>
      </c>
      <c r="EA192" s="399">
        <v>0</v>
      </c>
      <c r="EB192" s="399">
        <v>0</v>
      </c>
      <c r="EC192" s="399">
        <v>-10.347206974631252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232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194</v>
      </c>
      <c r="B193" s="399" t="s">
        <v>956</v>
      </c>
      <c r="C193" s="399" t="s">
        <v>2328</v>
      </c>
      <c r="D193" s="399" t="s">
        <v>1821</v>
      </c>
      <c r="E193" s="399" t="s">
        <v>889</v>
      </c>
      <c r="F193" s="399" t="s">
        <v>2331</v>
      </c>
      <c r="G193" s="399" t="s">
        <v>1239</v>
      </c>
      <c r="H193" s="399" t="s">
        <v>1239</v>
      </c>
      <c r="I193" s="399" t="s">
        <v>1239</v>
      </c>
      <c r="J193" s="399" t="s">
        <v>2326</v>
      </c>
      <c r="K193" s="788">
        <v>44713</v>
      </c>
      <c r="L193" s="399">
        <v>0</v>
      </c>
      <c r="M193" s="399">
        <v>0</v>
      </c>
      <c r="N193" s="399">
        <v>0.3</v>
      </c>
      <c r="O193" s="399">
        <v>0.3</v>
      </c>
      <c r="P193" s="399">
        <v>0.3</v>
      </c>
      <c r="Q193" s="399">
        <v>0.3</v>
      </c>
      <c r="R193" s="399"/>
      <c r="S193" s="399">
        <v>325.25</v>
      </c>
      <c r="T193" s="399">
        <v>297.72000000000003</v>
      </c>
      <c r="U193" s="399"/>
      <c r="V193" s="399">
        <v>186.89100000000002</v>
      </c>
      <c r="W193" s="399">
        <v>186.89100000000002</v>
      </c>
      <c r="X193" s="399">
        <v>159.80399999999997</v>
      </c>
      <c r="Y193" s="399">
        <v>0</v>
      </c>
      <c r="Z193" s="399">
        <v>0</v>
      </c>
      <c r="AA193" s="399">
        <v>0</v>
      </c>
      <c r="AB193" s="399">
        <v>0</v>
      </c>
      <c r="AC193" s="399">
        <v>0</v>
      </c>
      <c r="AD193" s="399">
        <v>29.819250952945858</v>
      </c>
      <c r="AE193" s="399">
        <v>60.043442100812101</v>
      </c>
      <c r="AF193" s="399">
        <v>89.3171570928546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0</v>
      </c>
      <c r="AM193" s="399"/>
      <c r="AN193" s="399">
        <v>0.26711608091938499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7.4441410621208703</v>
      </c>
      <c r="BH193" s="399">
        <v>0</v>
      </c>
      <c r="BI193" s="399">
        <v>0</v>
      </c>
      <c r="BJ193" s="399">
        <v>0</v>
      </c>
      <c r="BK193" s="399">
        <v>7.3</v>
      </c>
      <c r="BL193" s="399">
        <v>2</v>
      </c>
      <c r="BM193" s="399"/>
      <c r="BN193" s="399"/>
      <c r="BO193" s="399"/>
      <c r="BP193" s="399"/>
      <c r="BQ193" s="399"/>
      <c r="BR193" s="399"/>
      <c r="BS193" s="399"/>
      <c r="BT193" s="399">
        <v>103.875</v>
      </c>
      <c r="BU193" s="399"/>
      <c r="BV193" s="399">
        <v>96.761298154975464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55.929000000000002</v>
      </c>
      <c r="CJ193" s="399">
        <v>-9.512999999999991</v>
      </c>
      <c r="CK193" s="399"/>
      <c r="CL193" s="399"/>
      <c r="CM193" s="399"/>
      <c r="CN193" s="399"/>
      <c r="CO193" s="399">
        <v>-30.920999999999996</v>
      </c>
      <c r="CP193" s="399">
        <v>3.8339999999999916</v>
      </c>
      <c r="CQ193" s="399">
        <v>30</v>
      </c>
      <c r="CR193" s="399">
        <v>3.9541018225430093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-0.22980351291824874</v>
      </c>
      <c r="DA193" s="399">
        <v>0</v>
      </c>
      <c r="DB193" s="399">
        <v>0</v>
      </c>
      <c r="DC193" s="399">
        <v>3.8326334350215063</v>
      </c>
      <c r="DD193" s="399">
        <v>0</v>
      </c>
      <c r="DE193" s="399">
        <v>0</v>
      </c>
      <c r="DF193" s="399">
        <v>0</v>
      </c>
      <c r="DG193" s="399">
        <v>0.31943094538979899</v>
      </c>
      <c r="DH193" s="399">
        <v>0</v>
      </c>
      <c r="DI193" s="399">
        <v>0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0</v>
      </c>
      <c r="DP193" s="399">
        <v>3.1840955049944997E-2</v>
      </c>
      <c r="DQ193" s="399">
        <v>0</v>
      </c>
      <c r="DR193" s="399">
        <v>0</v>
      </c>
      <c r="DS193" s="399"/>
      <c r="DT193" s="399"/>
      <c r="DU193" s="399"/>
      <c r="DV193" s="399">
        <v>60.043442100812101</v>
      </c>
      <c r="DW193" s="399">
        <v>0</v>
      </c>
      <c r="DX193" s="399">
        <v>0</v>
      </c>
      <c r="DY193" s="399">
        <v>-30.921000000000006</v>
      </c>
      <c r="DZ193" s="399">
        <v>3.833999999999989</v>
      </c>
      <c r="EA193" s="399">
        <v>0</v>
      </c>
      <c r="EB193" s="399">
        <v>0</v>
      </c>
      <c r="EC193" s="399">
        <v>-31.041620923893753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232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195</v>
      </c>
      <c r="B194" s="399" t="s">
        <v>956</v>
      </c>
      <c r="C194" s="399" t="s">
        <v>2328</v>
      </c>
      <c r="D194" s="399" t="s">
        <v>1821</v>
      </c>
      <c r="E194" s="399" t="s">
        <v>889</v>
      </c>
      <c r="F194" s="399" t="s">
        <v>2332</v>
      </c>
      <c r="G194" s="399" t="s">
        <v>1239</v>
      </c>
      <c r="H194" s="399" t="s">
        <v>1239</v>
      </c>
      <c r="I194" s="399" t="s">
        <v>1239</v>
      </c>
      <c r="J194" s="399" t="s">
        <v>2326</v>
      </c>
      <c r="K194" s="788">
        <v>44713</v>
      </c>
      <c r="L194" s="399">
        <v>0</v>
      </c>
      <c r="M194" s="399">
        <v>0</v>
      </c>
      <c r="N194" s="399">
        <v>0.48099999999999998</v>
      </c>
      <c r="O194" s="399">
        <v>0.48099999999999998</v>
      </c>
      <c r="P194" s="399">
        <v>0.48099999999999998</v>
      </c>
      <c r="Q194" s="399">
        <v>0.48099999999999998</v>
      </c>
      <c r="R194" s="399"/>
      <c r="S194" s="399">
        <v>325.25</v>
      </c>
      <c r="T194" s="399">
        <v>297.72000000000003</v>
      </c>
      <c r="U194" s="399"/>
      <c r="V194" s="399">
        <v>299.64857000000001</v>
      </c>
      <c r="W194" s="399">
        <v>299.64857000000001</v>
      </c>
      <c r="X194" s="399">
        <v>256.21907999999996</v>
      </c>
      <c r="Y194" s="399">
        <v>0</v>
      </c>
      <c r="Z194" s="399">
        <v>0</v>
      </c>
      <c r="AA194" s="399">
        <v>0</v>
      </c>
      <c r="AB194" s="399">
        <v>0</v>
      </c>
      <c r="AC194" s="399">
        <v>0</v>
      </c>
      <c r="AD194" s="399">
        <v>47.810199027889858</v>
      </c>
      <c r="AE194" s="399">
        <v>96.269652168302073</v>
      </c>
      <c r="AF194" s="399">
        <v>143.20517520554353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0</v>
      </c>
      <c r="AM194" s="399"/>
      <c r="AN194" s="399">
        <v>0.42827611640741392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11.935439502933795</v>
      </c>
      <c r="BH194" s="399">
        <v>0</v>
      </c>
      <c r="BI194" s="399">
        <v>0</v>
      </c>
      <c r="BJ194" s="399">
        <v>0</v>
      </c>
      <c r="BK194" s="399">
        <v>20.34</v>
      </c>
      <c r="BL194" s="399">
        <v>2</v>
      </c>
      <c r="BM194" s="399"/>
      <c r="BN194" s="399"/>
      <c r="BO194" s="399"/>
      <c r="BP194" s="399"/>
      <c r="BQ194" s="399"/>
      <c r="BR194" s="399"/>
      <c r="BS194" s="399"/>
      <c r="BT194" s="399">
        <v>102.48667</v>
      </c>
      <c r="BU194" s="399"/>
      <c r="BV194" s="399">
        <v>155.14061470847733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153.4128</v>
      </c>
      <c r="CJ194" s="399">
        <v>-26.40537999999998</v>
      </c>
      <c r="CK194" s="399"/>
      <c r="CL194" s="399"/>
      <c r="CM194" s="399"/>
      <c r="CN194" s="399"/>
      <c r="CO194" s="399">
        <v>-49.576669999999993</v>
      </c>
      <c r="CP194" s="399">
        <v>6.1471799999999863</v>
      </c>
      <c r="CQ194" s="399">
        <v>30</v>
      </c>
      <c r="CR194" s="399">
        <v>6.3397432554772877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-0.36845163237892109</v>
      </c>
      <c r="DA194" s="399">
        <v>0</v>
      </c>
      <c r="DB194" s="399">
        <v>0</v>
      </c>
      <c r="DC194" s="399">
        <v>6.1449889408178251</v>
      </c>
      <c r="DD194" s="399">
        <v>0</v>
      </c>
      <c r="DE194" s="399">
        <v>0</v>
      </c>
      <c r="DF194" s="399">
        <v>0</v>
      </c>
      <c r="DG194" s="399">
        <v>0.51215428244164585</v>
      </c>
      <c r="DH194" s="399">
        <v>0</v>
      </c>
      <c r="DI194" s="399">
        <v>0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0</v>
      </c>
      <c r="DP194" s="399">
        <v>5.1051664596745205E-2</v>
      </c>
      <c r="DQ194" s="399">
        <v>0</v>
      </c>
      <c r="DR194" s="399">
        <v>0</v>
      </c>
      <c r="DS194" s="399"/>
      <c r="DT194" s="399"/>
      <c r="DU194" s="399"/>
      <c r="DV194" s="399">
        <v>96.269652168302073</v>
      </c>
      <c r="DW194" s="399">
        <v>0</v>
      </c>
      <c r="DX194" s="399">
        <v>0</v>
      </c>
      <c r="DY194" s="399">
        <v>-49.576669999999993</v>
      </c>
      <c r="DZ194" s="399">
        <v>6.1471799999999632</v>
      </c>
      <c r="EA194" s="399">
        <v>0</v>
      </c>
      <c r="EB194" s="399">
        <v>0</v>
      </c>
      <c r="EC194" s="399">
        <v>-49.770065547976323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232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196</v>
      </c>
      <c r="B195" s="399" t="s">
        <v>956</v>
      </c>
      <c r="C195" s="399" t="s">
        <v>2328</v>
      </c>
      <c r="D195" s="399" t="s">
        <v>1821</v>
      </c>
      <c r="E195" s="399" t="s">
        <v>889</v>
      </c>
      <c r="F195" s="399" t="s">
        <v>2333</v>
      </c>
      <c r="G195" s="399" t="s">
        <v>1239</v>
      </c>
      <c r="H195" s="399" t="s">
        <v>1239</v>
      </c>
      <c r="I195" s="399" t="s">
        <v>1239</v>
      </c>
      <c r="J195" s="399" t="s">
        <v>2326</v>
      </c>
      <c r="K195" s="788">
        <v>44713</v>
      </c>
      <c r="L195" s="399">
        <v>0</v>
      </c>
      <c r="M195" s="399">
        <v>0</v>
      </c>
      <c r="N195" s="399">
        <v>0.69599999999999995</v>
      </c>
      <c r="O195" s="399">
        <v>0.69599999999999995</v>
      </c>
      <c r="P195" s="399">
        <v>0.69599999999999995</v>
      </c>
      <c r="Q195" s="399">
        <v>0.69599999999999995</v>
      </c>
      <c r="R195" s="399"/>
      <c r="S195" s="399">
        <v>325.25</v>
      </c>
      <c r="T195" s="399">
        <v>297.72000000000003</v>
      </c>
      <c r="U195" s="399"/>
      <c r="V195" s="399">
        <v>433.58712000000003</v>
      </c>
      <c r="W195" s="399">
        <v>433.58712000000003</v>
      </c>
      <c r="X195" s="399">
        <v>370.74527999999998</v>
      </c>
      <c r="Y195" s="399">
        <v>0</v>
      </c>
      <c r="Z195" s="399">
        <v>0</v>
      </c>
      <c r="AA195" s="399">
        <v>0</v>
      </c>
      <c r="AB195" s="399">
        <v>0</v>
      </c>
      <c r="AC195" s="399">
        <v>0</v>
      </c>
      <c r="AD195" s="399">
        <v>69.180662210834384</v>
      </c>
      <c r="AE195" s="399">
        <v>139.30078567388406</v>
      </c>
      <c r="AF195" s="399">
        <v>207.21580445542264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0</v>
      </c>
      <c r="AM195" s="399"/>
      <c r="AN195" s="399">
        <v>0.61970930773297317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17.270407264120418</v>
      </c>
      <c r="BH195" s="399">
        <v>0</v>
      </c>
      <c r="BI195" s="399">
        <v>0</v>
      </c>
      <c r="BJ195" s="399">
        <v>0</v>
      </c>
      <c r="BK195" s="399">
        <v>80.34</v>
      </c>
      <c r="BL195" s="399">
        <v>2</v>
      </c>
      <c r="BM195" s="399"/>
      <c r="BN195" s="399"/>
      <c r="BO195" s="399"/>
      <c r="BP195" s="399"/>
      <c r="BQ195" s="399"/>
      <c r="BR195" s="399"/>
      <c r="BS195" s="399"/>
      <c r="BT195" s="399">
        <v>37.075920000000004</v>
      </c>
      <c r="BU195" s="399"/>
      <c r="BV195" s="399">
        <v>224.48621171954306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335.58699999999999</v>
      </c>
      <c r="CJ195" s="399">
        <v>-54.669319999999971</v>
      </c>
      <c r="CK195" s="399"/>
      <c r="CL195" s="399"/>
      <c r="CM195" s="399"/>
      <c r="CN195" s="399"/>
      <c r="CO195" s="399">
        <v>-71.736719999999991</v>
      </c>
      <c r="CP195" s="399">
        <v>8.894879999999981</v>
      </c>
      <c r="CQ195" s="399">
        <v>30</v>
      </c>
      <c r="CR195" s="399">
        <v>9.173516228299718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-0.533144149970326</v>
      </c>
      <c r="DA195" s="399">
        <v>0</v>
      </c>
      <c r="DB195" s="399">
        <v>0</v>
      </c>
      <c r="DC195" s="399">
        <v>8.8917095692499117</v>
      </c>
      <c r="DD195" s="399">
        <v>0</v>
      </c>
      <c r="DE195" s="399">
        <v>0</v>
      </c>
      <c r="DF195" s="399">
        <v>0</v>
      </c>
      <c r="DG195" s="399">
        <v>0.74107979330433338</v>
      </c>
      <c r="DH195" s="399">
        <v>0</v>
      </c>
      <c r="DI195" s="399">
        <v>0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0</v>
      </c>
      <c r="DP195" s="399">
        <v>7.3871015715872401E-2</v>
      </c>
      <c r="DQ195" s="399">
        <v>0</v>
      </c>
      <c r="DR195" s="399">
        <v>0</v>
      </c>
      <c r="DS195" s="399"/>
      <c r="DT195" s="399"/>
      <c r="DU195" s="399"/>
      <c r="DV195" s="399">
        <v>139.30078567388406</v>
      </c>
      <c r="DW195" s="399">
        <v>0</v>
      </c>
      <c r="DX195" s="399">
        <v>0</v>
      </c>
      <c r="DY195" s="399">
        <v>-71.736719999999991</v>
      </c>
      <c r="DZ195" s="399">
        <v>8.8948799999999721</v>
      </c>
      <c r="EA195" s="399">
        <v>0</v>
      </c>
      <c r="EB195" s="399">
        <v>0</v>
      </c>
      <c r="EC195" s="399">
        <v>-72.016560543433499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232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197</v>
      </c>
      <c r="B196" s="399" t="s">
        <v>956</v>
      </c>
      <c r="C196" s="399" t="s">
        <v>2328</v>
      </c>
      <c r="D196" s="399" t="s">
        <v>1821</v>
      </c>
      <c r="E196" s="399" t="s">
        <v>889</v>
      </c>
      <c r="F196" s="399" t="s">
        <v>2334</v>
      </c>
      <c r="G196" s="399" t="s">
        <v>1239</v>
      </c>
      <c r="H196" s="399" t="s">
        <v>1239</v>
      </c>
      <c r="I196" s="399" t="s">
        <v>1239</v>
      </c>
      <c r="J196" s="399" t="s">
        <v>2326</v>
      </c>
      <c r="K196" s="788">
        <v>44713</v>
      </c>
      <c r="L196" s="399">
        <v>0</v>
      </c>
      <c r="M196" s="399">
        <v>0</v>
      </c>
      <c r="N196" s="399">
        <v>0.62</v>
      </c>
      <c r="O196" s="399">
        <v>0.62</v>
      </c>
      <c r="P196" s="399">
        <v>0.62</v>
      </c>
      <c r="Q196" s="399">
        <v>0.62</v>
      </c>
      <c r="R196" s="399"/>
      <c r="S196" s="399">
        <v>325.25</v>
      </c>
      <c r="T196" s="399">
        <v>297.72000000000003</v>
      </c>
      <c r="U196" s="399"/>
      <c r="V196" s="399">
        <v>386.2414</v>
      </c>
      <c r="W196" s="399">
        <v>386.2414</v>
      </c>
      <c r="X196" s="399">
        <v>330.26159999999999</v>
      </c>
      <c r="Y196" s="399">
        <v>0</v>
      </c>
      <c r="Z196" s="399">
        <v>0</v>
      </c>
      <c r="AA196" s="399">
        <v>0</v>
      </c>
      <c r="AB196" s="399">
        <v>0</v>
      </c>
      <c r="AC196" s="399">
        <v>0</v>
      </c>
      <c r="AD196" s="399">
        <v>61.626451969421439</v>
      </c>
      <c r="AE196" s="399">
        <v>124.08978034167835</v>
      </c>
      <c r="AF196" s="399">
        <v>184.58879132523285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0</v>
      </c>
      <c r="AM196" s="399"/>
      <c r="AN196" s="399">
        <v>0.55203990056672902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15.384558195049799</v>
      </c>
      <c r="BH196" s="399">
        <v>0</v>
      </c>
      <c r="BI196" s="399">
        <v>0</v>
      </c>
      <c r="BJ196" s="399">
        <v>0</v>
      </c>
      <c r="BK196" s="399">
        <v>106.66</v>
      </c>
      <c r="BL196" s="399">
        <v>4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199.97334952028265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330.26159999999999</v>
      </c>
      <c r="CJ196" s="399">
        <v>-56.009799999999984</v>
      </c>
      <c r="CK196" s="399"/>
      <c r="CL196" s="399"/>
      <c r="CM196" s="399"/>
      <c r="CN196" s="399"/>
      <c r="CO196" s="399">
        <v>-63.903399999999998</v>
      </c>
      <c r="CP196" s="399">
        <v>7.9235999999999827</v>
      </c>
      <c r="CQ196" s="399">
        <v>30</v>
      </c>
      <c r="CR196" s="399">
        <v>8.1718104332555299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-0.4749272600310448</v>
      </c>
      <c r="DA196" s="399">
        <v>0</v>
      </c>
      <c r="DB196" s="399">
        <v>0</v>
      </c>
      <c r="DC196" s="399">
        <v>7.9207757657111131</v>
      </c>
      <c r="DD196" s="399">
        <v>0</v>
      </c>
      <c r="DE196" s="399">
        <v>0</v>
      </c>
      <c r="DF196" s="399">
        <v>0</v>
      </c>
      <c r="DG196" s="399">
        <v>0.66015728713891875</v>
      </c>
      <c r="DH196" s="399">
        <v>0</v>
      </c>
      <c r="DI196" s="399">
        <v>0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0</v>
      </c>
      <c r="DP196" s="399">
        <v>6.5804640436552986E-2</v>
      </c>
      <c r="DQ196" s="399">
        <v>0</v>
      </c>
      <c r="DR196" s="399">
        <v>0</v>
      </c>
      <c r="DS196" s="399"/>
      <c r="DT196" s="399"/>
      <c r="DU196" s="399"/>
      <c r="DV196" s="399">
        <v>124.08978034167835</v>
      </c>
      <c r="DW196" s="399">
        <v>0</v>
      </c>
      <c r="DX196" s="399">
        <v>0</v>
      </c>
      <c r="DY196" s="399">
        <v>-63.903400000000005</v>
      </c>
      <c r="DZ196" s="399">
        <v>7.9235999999999649</v>
      </c>
      <c r="EA196" s="399">
        <v>0</v>
      </c>
      <c r="EB196" s="399">
        <v>0</v>
      </c>
      <c r="EC196" s="399">
        <v>-64.152683242713763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232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198</v>
      </c>
      <c r="B197" s="399" t="s">
        <v>956</v>
      </c>
      <c r="C197" s="399" t="s">
        <v>2328</v>
      </c>
      <c r="D197" s="399" t="s">
        <v>1824</v>
      </c>
      <c r="E197" s="399" t="s">
        <v>890</v>
      </c>
      <c r="F197" s="399" t="s">
        <v>1239</v>
      </c>
      <c r="G197" s="399" t="s">
        <v>1239</v>
      </c>
      <c r="H197" s="399" t="s">
        <v>1239</v>
      </c>
      <c r="I197" s="399" t="s">
        <v>1239</v>
      </c>
      <c r="J197" s="399" t="s">
        <v>2326</v>
      </c>
      <c r="K197" s="788">
        <v>44713</v>
      </c>
      <c r="L197" s="399">
        <v>0</v>
      </c>
      <c r="M197" s="399">
        <v>0</v>
      </c>
      <c r="N197" s="399">
        <v>2.944</v>
      </c>
      <c r="O197" s="399">
        <v>2.944</v>
      </c>
      <c r="P197" s="399">
        <v>2.944</v>
      </c>
      <c r="Q197" s="399">
        <v>2.944</v>
      </c>
      <c r="R197" s="399"/>
      <c r="S197" s="399">
        <v>395.23</v>
      </c>
      <c r="T197" s="399">
        <v>297.72000000000003</v>
      </c>
      <c r="U197" s="399"/>
      <c r="V197" s="399">
        <v>2040.0448000000001</v>
      </c>
      <c r="W197" s="399">
        <v>2040.0448000000001</v>
      </c>
      <c r="X197" s="399">
        <v>1808.0575999999999</v>
      </c>
      <c r="Y197" s="399">
        <v>0</v>
      </c>
      <c r="Z197" s="399">
        <v>178.44060433568683</v>
      </c>
      <c r="AA197" s="399">
        <v>0</v>
      </c>
      <c r="AB197" s="399">
        <v>0</v>
      </c>
      <c r="AC197" s="399">
        <v>0</v>
      </c>
      <c r="AD197" s="399">
        <v>292.62624935157538</v>
      </c>
      <c r="AE197" s="399">
        <v>589.22631181596944</v>
      </c>
      <c r="AF197" s="399">
        <v>876.49903493787974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27.587892520966736</v>
      </c>
      <c r="AM197" s="399"/>
      <c r="AN197" s="399">
        <v>2.6212991407555646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73.051837622946138</v>
      </c>
      <c r="BH197" s="399">
        <v>0</v>
      </c>
      <c r="BI197" s="399">
        <v>0</v>
      </c>
      <c r="BJ197" s="399">
        <v>0</v>
      </c>
      <c r="BK197" s="399">
        <v>584.04999999999995</v>
      </c>
      <c r="BL197" s="399">
        <v>2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949.55087256082584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1805.6009999999999</v>
      </c>
      <c r="CJ197" s="399">
        <v>-234.47380000000021</v>
      </c>
      <c r="CK197" s="399"/>
      <c r="CL197" s="399"/>
      <c r="CM197" s="399"/>
      <c r="CN197" s="399"/>
      <c r="CO197" s="399">
        <v>-269.6115200000001</v>
      </c>
      <c r="CP197" s="399">
        <v>37.624319999999919</v>
      </c>
      <c r="CQ197" s="399">
        <v>30</v>
      </c>
      <c r="CR197" s="399">
        <v>72.610735272437751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-2.2551384734377393</v>
      </c>
      <c r="DA197" s="399">
        <v>0</v>
      </c>
      <c r="DB197" s="399">
        <v>0</v>
      </c>
      <c r="DC197" s="399">
        <v>37.61090944234445</v>
      </c>
      <c r="DD197" s="399">
        <v>0</v>
      </c>
      <c r="DE197" s="399">
        <v>0</v>
      </c>
      <c r="DF197" s="399">
        <v>0</v>
      </c>
      <c r="DG197" s="399">
        <v>3.1346823440918996</v>
      </c>
      <c r="DH197" s="399">
        <v>0</v>
      </c>
      <c r="DI197" s="399">
        <v>29.790105298947623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4.0177107549346509</v>
      </c>
      <c r="DP197" s="399">
        <v>0.31246590555679399</v>
      </c>
      <c r="DQ197" s="399">
        <v>0</v>
      </c>
      <c r="DR197" s="399">
        <v>0</v>
      </c>
      <c r="DS197" s="399"/>
      <c r="DT197" s="399"/>
      <c r="DU197" s="399"/>
      <c r="DV197" s="399">
        <v>589.22631181596944</v>
      </c>
      <c r="DW197" s="399">
        <v>0</v>
      </c>
      <c r="DX197" s="399">
        <v>0</v>
      </c>
      <c r="DY197" s="399">
        <v>-269.61152000000004</v>
      </c>
      <c r="DZ197" s="399">
        <v>37.624319999999898</v>
      </c>
      <c r="EA197" s="399">
        <v>0</v>
      </c>
      <c r="EB197" s="399">
        <v>0</v>
      </c>
      <c r="EC197" s="399">
        <v>-304.62177333314406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232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199</v>
      </c>
      <c r="B198" s="399" t="s">
        <v>956</v>
      </c>
      <c r="C198" s="399" t="s">
        <v>2343</v>
      </c>
      <c r="D198" s="399" t="s">
        <v>533</v>
      </c>
      <c r="E198" s="399" t="s">
        <v>890</v>
      </c>
      <c r="F198" s="399" t="s">
        <v>1239</v>
      </c>
      <c r="G198" s="399" t="s">
        <v>1239</v>
      </c>
      <c r="H198" s="399" t="s">
        <v>1239</v>
      </c>
      <c r="I198" s="399" t="s">
        <v>893</v>
      </c>
      <c r="J198" s="399" t="s">
        <v>2326</v>
      </c>
      <c r="K198" s="788">
        <v>44713</v>
      </c>
      <c r="L198" s="399">
        <v>715</v>
      </c>
      <c r="M198" s="399">
        <v>715</v>
      </c>
      <c r="N198" s="399">
        <v>29.943999999999999</v>
      </c>
      <c r="O198" s="399">
        <v>29.943999999999999</v>
      </c>
      <c r="P198" s="399">
        <v>29.943999999999999</v>
      </c>
      <c r="Q198" s="399">
        <v>29.943999999999999</v>
      </c>
      <c r="R198" s="399">
        <v>78.569999999999993</v>
      </c>
      <c r="S198" s="399">
        <v>72.290000000000006</v>
      </c>
      <c r="T198" s="399">
        <v>297.72000000000003</v>
      </c>
      <c r="U198" s="399">
        <v>56177.549999999996</v>
      </c>
      <c r="V198" s="399">
        <v>11079.579440000001</v>
      </c>
      <c r="W198" s="399">
        <v>67257.12943999999</v>
      </c>
      <c r="X198" s="399">
        <v>50019.367359999997</v>
      </c>
      <c r="Y198" s="399">
        <v>0</v>
      </c>
      <c r="Z198" s="399">
        <v>1579.0102401216698</v>
      </c>
      <c r="AA198" s="399">
        <v>0</v>
      </c>
      <c r="AB198" s="399">
        <v>0</v>
      </c>
      <c r="AC198" s="399">
        <v>0</v>
      </c>
      <c r="AD198" s="399">
        <v>21794.517656357159</v>
      </c>
      <c r="AE198" s="399">
        <v>34384.966773572196</v>
      </c>
      <c r="AF198" s="399">
        <v>8915.0431732947927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280.60185246189809</v>
      </c>
      <c r="AM198" s="399"/>
      <c r="AN198" s="399">
        <v>18.054848698882495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286.87707451014012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9201.9202478049338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50017.793599999997</v>
      </c>
      <c r="CJ198" s="399">
        <v>-17239.365840000006</v>
      </c>
      <c r="CK198" s="399"/>
      <c r="CL198" s="399"/>
      <c r="CM198" s="399"/>
      <c r="CN198" s="399"/>
      <c r="CO198" s="399">
        <v>-17620.446399999997</v>
      </c>
      <c r="CP198" s="399">
        <v>382.68431999999916</v>
      </c>
      <c r="CQ198" s="399">
        <v>30</v>
      </c>
      <c r="CR198" s="399">
        <v>533.5253792294825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-167.96051408843778</v>
      </c>
      <c r="DA198" s="399">
        <v>0</v>
      </c>
      <c r="DB198" s="399">
        <v>0</v>
      </c>
      <c r="DC198" s="399">
        <v>382.54791859428042</v>
      </c>
      <c r="DD198" s="399">
        <v>0</v>
      </c>
      <c r="DE198" s="399">
        <v>0</v>
      </c>
      <c r="DF198" s="399">
        <v>0</v>
      </c>
      <c r="DG198" s="399">
        <v>12.310005191562823</v>
      </c>
      <c r="DH198" s="399">
        <v>0</v>
      </c>
      <c r="DI198" s="399">
        <v>263.6108608601769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40.864922162283676</v>
      </c>
      <c r="DP198" s="399">
        <v>2.1521865096102886</v>
      </c>
      <c r="DQ198" s="399">
        <v>0</v>
      </c>
      <c r="DR198" s="399">
        <v>0</v>
      </c>
      <c r="DS198" s="399"/>
      <c r="DT198" s="399"/>
      <c r="DU198" s="399">
        <v>34384.966773572196</v>
      </c>
      <c r="DV198" s="399">
        <v>0</v>
      </c>
      <c r="DW198" s="399">
        <v>0</v>
      </c>
      <c r="DX198" s="399">
        <v>0</v>
      </c>
      <c r="DY198" s="399">
        <v>-17620.446400000001</v>
      </c>
      <c r="DZ198" s="399">
        <v>382.68431999999848</v>
      </c>
      <c r="EA198" s="399">
        <v>0</v>
      </c>
      <c r="EB198" s="399">
        <v>0</v>
      </c>
      <c r="EC198" s="399">
        <v>-17776.547558246544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232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200</v>
      </c>
      <c r="B199" s="399" t="s">
        <v>956</v>
      </c>
      <c r="C199" s="399" t="s">
        <v>2343</v>
      </c>
      <c r="D199" s="399" t="s">
        <v>533</v>
      </c>
      <c r="E199" s="399" t="s">
        <v>890</v>
      </c>
      <c r="F199" s="399" t="s">
        <v>1239</v>
      </c>
      <c r="G199" s="399" t="s">
        <v>1239</v>
      </c>
      <c r="H199" s="399" t="s">
        <v>1239</v>
      </c>
      <c r="I199" s="399" t="s">
        <v>2323</v>
      </c>
      <c r="J199" s="399" t="s">
        <v>2326</v>
      </c>
      <c r="K199" s="788">
        <v>44713</v>
      </c>
      <c r="L199" s="399">
        <v>715</v>
      </c>
      <c r="M199" s="399">
        <v>715</v>
      </c>
      <c r="N199" s="399">
        <v>224.15799999999999</v>
      </c>
      <c r="O199" s="399">
        <v>224.15799999999999</v>
      </c>
      <c r="P199" s="399">
        <v>224.15799999999999</v>
      </c>
      <c r="Q199" s="399">
        <v>224.15799999999999</v>
      </c>
      <c r="R199" s="399">
        <v>25.76</v>
      </c>
      <c r="S199" s="399">
        <v>72.290000000000006</v>
      </c>
      <c r="T199" s="399">
        <v>297.72000000000003</v>
      </c>
      <c r="U199" s="399">
        <v>18418.400000000001</v>
      </c>
      <c r="V199" s="399">
        <v>82940.701579999994</v>
      </c>
      <c r="W199" s="399">
        <v>101359.10158</v>
      </c>
      <c r="X199" s="399">
        <v>101577.52351999999</v>
      </c>
      <c r="Y199" s="399">
        <v>0</v>
      </c>
      <c r="Z199" s="399">
        <v>11820.323851362318</v>
      </c>
      <c r="AA199" s="399">
        <v>0</v>
      </c>
      <c r="AB199" s="399">
        <v>0</v>
      </c>
      <c r="AC199" s="399">
        <v>0</v>
      </c>
      <c r="AD199" s="399">
        <v>8809.0697848288128</v>
      </c>
      <c r="AE199" s="399">
        <v>9608.3573567757503</v>
      </c>
      <c r="AF199" s="399">
        <v>66737.184332067001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2100.5593789792329</v>
      </c>
      <c r="AM199" s="399"/>
      <c r="AN199" s="399">
        <v>135.15691873644477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2147.5351078026983</v>
      </c>
      <c r="BH199" s="399">
        <v>0</v>
      </c>
      <c r="BI199" s="399">
        <v>0</v>
      </c>
      <c r="BJ199" s="399">
        <v>0</v>
      </c>
      <c r="BK199" s="399">
        <v>0</v>
      </c>
      <c r="BL199" s="399">
        <v>0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68884.719439869703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101578.31039999999</v>
      </c>
      <c r="CJ199" s="399">
        <v>219.17881999998644</v>
      </c>
      <c r="CK199" s="399"/>
      <c r="CL199" s="399"/>
      <c r="CM199" s="399"/>
      <c r="CN199" s="399"/>
      <c r="CO199" s="399">
        <v>-2646.3173000000043</v>
      </c>
      <c r="CP199" s="399">
        <v>2864.7392399999935</v>
      </c>
      <c r="CQ199" s="399">
        <v>30</v>
      </c>
      <c r="CR199" s="399">
        <v>5183.3706514845544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-67.88752625912457</v>
      </c>
      <c r="DA199" s="399">
        <v>0</v>
      </c>
      <c r="DB199" s="399">
        <v>0</v>
      </c>
      <c r="DC199" s="399">
        <v>2863.7181517584977</v>
      </c>
      <c r="DD199" s="399">
        <v>0</v>
      </c>
      <c r="DE199" s="399">
        <v>0</v>
      </c>
      <c r="DF199" s="399">
        <v>0</v>
      </c>
      <c r="DG199" s="399">
        <v>92.151554359147667</v>
      </c>
      <c r="DH199" s="399">
        <v>0</v>
      </c>
      <c r="DI199" s="399">
        <v>1973.3663955615648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305.91100794994645</v>
      </c>
      <c r="DP199" s="399">
        <v>16.111068114521203</v>
      </c>
      <c r="DQ199" s="399">
        <v>0</v>
      </c>
      <c r="DR199" s="399">
        <v>0</v>
      </c>
      <c r="DS199" s="399"/>
      <c r="DT199" s="399"/>
      <c r="DU199" s="399">
        <v>9608.3573567757503</v>
      </c>
      <c r="DV199" s="399">
        <v>0</v>
      </c>
      <c r="DW199" s="399">
        <v>0</v>
      </c>
      <c r="DX199" s="399">
        <v>0</v>
      </c>
      <c r="DY199" s="399">
        <v>-2646.3173000000061</v>
      </c>
      <c r="DZ199" s="399">
        <v>2864.7392399999953</v>
      </c>
      <c r="EA199" s="399">
        <v>0</v>
      </c>
      <c r="EB199" s="399">
        <v>0</v>
      </c>
      <c r="EC199" s="399">
        <v>-4967.3865510502392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232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201</v>
      </c>
      <c r="B200" s="399" t="s">
        <v>956</v>
      </c>
      <c r="C200" s="399" t="s">
        <v>2343</v>
      </c>
      <c r="D200" s="399" t="s">
        <v>533</v>
      </c>
      <c r="E200" s="399" t="s">
        <v>890</v>
      </c>
      <c r="F200" s="399" t="s">
        <v>1239</v>
      </c>
      <c r="G200" s="399" t="s">
        <v>1239</v>
      </c>
      <c r="H200" s="399" t="s">
        <v>1239</v>
      </c>
      <c r="I200" s="399" t="s">
        <v>1239</v>
      </c>
      <c r="J200" s="399" t="s">
        <v>2326</v>
      </c>
      <c r="K200" s="788">
        <v>44713</v>
      </c>
      <c r="L200" s="399">
        <v>0</v>
      </c>
      <c r="M200" s="399">
        <v>0</v>
      </c>
      <c r="N200" s="399">
        <v>0</v>
      </c>
      <c r="O200" s="399">
        <v>0</v>
      </c>
      <c r="P200" s="399">
        <v>0</v>
      </c>
      <c r="Q200" s="399">
        <v>0</v>
      </c>
      <c r="R200" s="399"/>
      <c r="S200" s="399"/>
      <c r="T200" s="399"/>
      <c r="U200" s="399"/>
      <c r="V200" s="399"/>
      <c r="W200" s="399"/>
      <c r="X200" s="399"/>
      <c r="Y200" s="399"/>
      <c r="Z200" s="399"/>
      <c r="AA200" s="399">
        <v>0</v>
      </c>
      <c r="AB200" s="399"/>
      <c r="AC200" s="399"/>
      <c r="AD200" s="399"/>
      <c r="AE200" s="399"/>
      <c r="AF200" s="399"/>
      <c r="AG200" s="399"/>
      <c r="AH200" s="399"/>
      <c r="AI200" s="399"/>
      <c r="AJ200" s="399"/>
      <c r="AK200" s="399"/>
      <c r="AL200" s="399"/>
      <c r="AM200" s="399"/>
      <c r="AN200" s="399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399">
        <v>0</v>
      </c>
      <c r="BA200" s="399"/>
      <c r="BB200" s="399"/>
      <c r="BC200" s="399"/>
      <c r="BD200" s="399"/>
      <c r="BE200" s="399"/>
      <c r="BF200" s="399"/>
      <c r="BG200" s="399"/>
      <c r="BH200" s="399"/>
      <c r="BI200" s="399">
        <v>0</v>
      </c>
      <c r="BJ200" s="399">
        <v>0</v>
      </c>
      <c r="BK200" s="399">
        <v>48785.23</v>
      </c>
      <c r="BL200" s="399">
        <v>1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/>
      <c r="CJ200" s="399">
        <v>-0.03</v>
      </c>
      <c r="CK200" s="399"/>
      <c r="CL200" s="399"/>
      <c r="CM200" s="399"/>
      <c r="CN200" s="399"/>
      <c r="CO200" s="399">
        <v>0</v>
      </c>
      <c r="CP200" s="399">
        <v>0</v>
      </c>
      <c r="CQ200" s="399">
        <v>30</v>
      </c>
      <c r="CR200" s="399"/>
      <c r="CS200" s="399"/>
      <c r="CT200" s="399"/>
      <c r="CU200" s="399"/>
      <c r="CV200" s="399"/>
      <c r="CW200" s="399"/>
      <c r="CX200" s="399"/>
      <c r="CY200" s="399"/>
      <c r="CZ200" s="399"/>
      <c r="DA200" s="399"/>
      <c r="DB200" s="399"/>
      <c r="DC200" s="399"/>
      <c r="DD200" s="399"/>
      <c r="DE200" s="399"/>
      <c r="DF200" s="399"/>
      <c r="DG200" s="399"/>
      <c r="DH200" s="399"/>
      <c r="DI200" s="399"/>
      <c r="DJ200" s="399"/>
      <c r="DK200" s="399">
        <v>0</v>
      </c>
      <c r="DL200" s="399"/>
      <c r="DM200" s="399"/>
      <c r="DN200" s="399"/>
      <c r="DO200" s="399"/>
      <c r="DP200" s="399"/>
      <c r="DQ200" s="399"/>
      <c r="DR200" s="399"/>
      <c r="DS200" s="399"/>
      <c r="DT200" s="399"/>
      <c r="DU200" s="399"/>
      <c r="DV200" s="399"/>
      <c r="DW200" s="399"/>
      <c r="DX200" s="399"/>
      <c r="DY200" s="399"/>
      <c r="DZ200" s="399"/>
      <c r="EA200" s="399"/>
      <c r="EB200" s="399"/>
      <c r="EC200" s="399"/>
      <c r="ED200" s="399"/>
      <c r="EE200" s="399"/>
      <c r="EF200" s="399"/>
      <c r="EG200" s="399"/>
      <c r="EH200" s="399"/>
      <c r="EI200" s="399"/>
      <c r="EJ200" s="399"/>
      <c r="EK200" s="399"/>
      <c r="EL200" s="399"/>
      <c r="EM200" s="399"/>
      <c r="EN200" s="399"/>
      <c r="EO200" s="399"/>
      <c r="EP200" s="399"/>
      <c r="EQ200" s="399"/>
      <c r="ER200" s="399"/>
      <c r="ES200" s="399"/>
      <c r="ET200" s="399"/>
      <c r="EU200" s="399"/>
      <c r="EV200" s="399">
        <v>232</v>
      </c>
      <c r="EW200" s="399"/>
      <c r="EX200" s="399"/>
      <c r="EY200" s="399"/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202</v>
      </c>
      <c r="B201" s="399" t="s">
        <v>956</v>
      </c>
      <c r="C201" s="399" t="s">
        <v>2325</v>
      </c>
      <c r="D201" s="399" t="s">
        <v>533</v>
      </c>
      <c r="E201" s="399" t="s">
        <v>890</v>
      </c>
      <c r="F201" s="399" t="s">
        <v>1239</v>
      </c>
      <c r="G201" s="399" t="s">
        <v>1239</v>
      </c>
      <c r="H201" s="399" t="s">
        <v>1239</v>
      </c>
      <c r="I201" s="399" t="s">
        <v>893</v>
      </c>
      <c r="J201" s="399" t="s">
        <v>2326</v>
      </c>
      <c r="K201" s="788">
        <v>44713</v>
      </c>
      <c r="L201" s="399">
        <v>0</v>
      </c>
      <c r="M201" s="399">
        <v>0</v>
      </c>
      <c r="N201" s="399">
        <v>47.128</v>
      </c>
      <c r="O201" s="399">
        <v>47.128</v>
      </c>
      <c r="P201" s="399">
        <v>47.128</v>
      </c>
      <c r="Q201" s="399">
        <v>47.128</v>
      </c>
      <c r="R201" s="399"/>
      <c r="S201" s="399">
        <v>1962.25</v>
      </c>
      <c r="T201" s="399">
        <v>297.72000000000003</v>
      </c>
      <c r="U201" s="399"/>
      <c r="V201" s="399">
        <v>106507.86616000001</v>
      </c>
      <c r="W201" s="399">
        <v>106507.86616000001</v>
      </c>
      <c r="X201" s="399">
        <v>79166.085680000004</v>
      </c>
      <c r="Y201" s="399">
        <v>0</v>
      </c>
      <c r="Z201" s="399">
        <v>2485.158782943296</v>
      </c>
      <c r="AA201" s="399">
        <v>0</v>
      </c>
      <c r="AB201" s="399">
        <v>0</v>
      </c>
      <c r="AC201" s="399">
        <v>0</v>
      </c>
      <c r="AD201" s="399">
        <v>34562.80096237098</v>
      </c>
      <c r="AE201" s="399">
        <v>54507.608721213845</v>
      </c>
      <c r="AF201" s="399">
        <v>14031.129931573505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441.63118163319308</v>
      </c>
      <c r="AM201" s="399"/>
      <c r="AN201" s="399">
        <v>28.416006862173866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451.50757305349606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14482.637504627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79169.445300000007</v>
      </c>
      <c r="CJ201" s="399">
        <v>-27338.450859999983</v>
      </c>
      <c r="CK201" s="399"/>
      <c r="CL201" s="399"/>
      <c r="CM201" s="399"/>
      <c r="CN201" s="399"/>
      <c r="CO201" s="399">
        <v>-27944.076320000004</v>
      </c>
      <c r="CP201" s="399">
        <v>602.29583999999875</v>
      </c>
      <c r="CQ201" s="399">
        <v>30</v>
      </c>
      <c r="CR201" s="399">
        <v>837.6885505467435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-266.35991259400907</v>
      </c>
      <c r="DA201" s="399">
        <v>0</v>
      </c>
      <c r="DB201" s="399">
        <v>0</v>
      </c>
      <c r="DC201" s="399">
        <v>602.08116175231225</v>
      </c>
      <c r="DD201" s="399">
        <v>0</v>
      </c>
      <c r="DE201" s="399">
        <v>0</v>
      </c>
      <c r="DF201" s="399">
        <v>0</v>
      </c>
      <c r="DG201" s="399">
        <v>19.374362966469732</v>
      </c>
      <c r="DH201" s="399">
        <v>0</v>
      </c>
      <c r="DI201" s="399">
        <v>414.88954884512441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64.316125155760972</v>
      </c>
      <c r="DP201" s="399">
        <v>3.3872644210831453</v>
      </c>
      <c r="DQ201" s="399">
        <v>0</v>
      </c>
      <c r="DR201" s="399">
        <v>0</v>
      </c>
      <c r="DS201" s="399"/>
      <c r="DT201" s="399"/>
      <c r="DU201" s="399"/>
      <c r="DV201" s="399">
        <v>54507.608721213845</v>
      </c>
      <c r="DW201" s="399">
        <v>0</v>
      </c>
      <c r="DX201" s="399">
        <v>0</v>
      </c>
      <c r="DY201" s="399">
        <v>-27944.076320000007</v>
      </c>
      <c r="DZ201" s="399">
        <v>602.29583999999886</v>
      </c>
      <c r="EA201" s="399">
        <v>0</v>
      </c>
      <c r="EB201" s="399">
        <v>0</v>
      </c>
      <c r="EC201" s="399">
        <v>-28179.672387052469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232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203</v>
      </c>
      <c r="B202" s="399" t="s">
        <v>956</v>
      </c>
      <c r="C202" s="399" t="s">
        <v>2325</v>
      </c>
      <c r="D202" s="399" t="s">
        <v>533</v>
      </c>
      <c r="E202" s="399" t="s">
        <v>890</v>
      </c>
      <c r="F202" s="399" t="s">
        <v>1239</v>
      </c>
      <c r="G202" s="399" t="s">
        <v>1239</v>
      </c>
      <c r="H202" s="399" t="s">
        <v>1239</v>
      </c>
      <c r="I202" s="399" t="s">
        <v>2323</v>
      </c>
      <c r="J202" s="399" t="s">
        <v>2326</v>
      </c>
      <c r="K202" s="788">
        <v>44713</v>
      </c>
      <c r="L202" s="399">
        <v>0</v>
      </c>
      <c r="M202" s="399">
        <v>0</v>
      </c>
      <c r="N202" s="399">
        <v>645.54300000000001</v>
      </c>
      <c r="O202" s="399">
        <v>645.54300000000001</v>
      </c>
      <c r="P202" s="399">
        <v>645.54300000000001</v>
      </c>
      <c r="Q202" s="399">
        <v>645.54300000000001</v>
      </c>
      <c r="R202" s="399"/>
      <c r="S202" s="399">
        <v>72.290000000000006</v>
      </c>
      <c r="T202" s="399">
        <v>297.72000000000003</v>
      </c>
      <c r="U202" s="399"/>
      <c r="V202" s="399">
        <v>238857.36543000003</v>
      </c>
      <c r="W202" s="399">
        <v>238857.36543000003</v>
      </c>
      <c r="X202" s="399">
        <v>253982.43792</v>
      </c>
      <c r="Y202" s="399">
        <v>0</v>
      </c>
      <c r="Z202" s="399">
        <v>34040.843155185117</v>
      </c>
      <c r="AA202" s="399">
        <v>0</v>
      </c>
      <c r="AB202" s="399">
        <v>0</v>
      </c>
      <c r="AC202" s="399">
        <v>0</v>
      </c>
      <c r="AD202" s="399">
        <v>0</v>
      </c>
      <c r="AE202" s="399">
        <v>0</v>
      </c>
      <c r="AF202" s="399">
        <v>192193.55180397545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6049.3107682277277</v>
      </c>
      <c r="AM202" s="399"/>
      <c r="AN202" s="399">
        <v>389.23260732108946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6184.5941527684818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198378.14595674395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253981.25759999998</v>
      </c>
      <c r="CJ202" s="399">
        <v>15123.862169999949</v>
      </c>
      <c r="CK202" s="399"/>
      <c r="CL202" s="399"/>
      <c r="CM202" s="399"/>
      <c r="CN202" s="399"/>
      <c r="CO202" s="399">
        <v>6875.0329499999943</v>
      </c>
      <c r="CP202" s="399">
        <v>8250.0395399999816</v>
      </c>
      <c r="CQ202" s="399">
        <v>30</v>
      </c>
      <c r="CR202" s="399">
        <v>15122.872963870061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0</v>
      </c>
      <c r="DA202" s="399">
        <v>0</v>
      </c>
      <c r="DB202" s="399">
        <v>0</v>
      </c>
      <c r="DC202" s="399">
        <v>8247.0989518136194</v>
      </c>
      <c r="DD202" s="399">
        <v>0</v>
      </c>
      <c r="DE202" s="399">
        <v>0</v>
      </c>
      <c r="DF202" s="399">
        <v>0</v>
      </c>
      <c r="DG202" s="399">
        <v>265.38330488167867</v>
      </c>
      <c r="DH202" s="399">
        <v>0</v>
      </c>
      <c r="DI202" s="399">
        <v>5683.0131563004616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880.97997753830896</v>
      </c>
      <c r="DP202" s="399">
        <v>46.397573336005678</v>
      </c>
      <c r="DQ202" s="399">
        <v>0</v>
      </c>
      <c r="DR202" s="399">
        <v>0</v>
      </c>
      <c r="DS202" s="399"/>
      <c r="DT202" s="399"/>
      <c r="DU202" s="399"/>
      <c r="DV202" s="399">
        <v>0</v>
      </c>
      <c r="DW202" s="399">
        <v>0</v>
      </c>
      <c r="DX202" s="399">
        <v>0</v>
      </c>
      <c r="DY202" s="399">
        <v>6875.0329499999934</v>
      </c>
      <c r="DZ202" s="399">
        <v>8250.0395399999688</v>
      </c>
      <c r="EA202" s="399">
        <v>0</v>
      </c>
      <c r="EB202" s="399">
        <v>0</v>
      </c>
      <c r="EC202" s="399">
        <v>0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232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204</v>
      </c>
      <c r="B203" s="399" t="s">
        <v>956</v>
      </c>
      <c r="C203" s="399" t="s">
        <v>2325</v>
      </c>
      <c r="D203" s="399" t="s">
        <v>533</v>
      </c>
      <c r="E203" s="399" t="s">
        <v>890</v>
      </c>
      <c r="F203" s="399" t="s">
        <v>1239</v>
      </c>
      <c r="G203" s="399" t="s">
        <v>1239</v>
      </c>
      <c r="H203" s="399" t="s">
        <v>1239</v>
      </c>
      <c r="I203" s="399" t="s">
        <v>1239</v>
      </c>
      <c r="J203" s="399" t="s">
        <v>2326</v>
      </c>
      <c r="K203" s="788">
        <v>44713</v>
      </c>
      <c r="L203" s="399">
        <v>3050</v>
      </c>
      <c r="M203" s="399">
        <v>3050</v>
      </c>
      <c r="N203" s="399">
        <v>0</v>
      </c>
      <c r="O203" s="399">
        <v>0</v>
      </c>
      <c r="P203" s="399">
        <v>0</v>
      </c>
      <c r="Q203" s="399">
        <v>0</v>
      </c>
      <c r="R203" s="399">
        <v>25.76</v>
      </c>
      <c r="S203" s="399"/>
      <c r="T203" s="399"/>
      <c r="U203" s="399">
        <v>78568</v>
      </c>
      <c r="V203" s="399"/>
      <c r="W203" s="399">
        <v>78568</v>
      </c>
      <c r="X203" s="399">
        <v>57096</v>
      </c>
      <c r="Y203" s="399">
        <v>0</v>
      </c>
      <c r="Z203" s="399">
        <v>0</v>
      </c>
      <c r="AA203" s="399">
        <v>0</v>
      </c>
      <c r="AB203" s="399">
        <v>0</v>
      </c>
      <c r="AC203" s="399">
        <v>0</v>
      </c>
      <c r="AD203" s="399">
        <v>37577.150830388644</v>
      </c>
      <c r="AE203" s="399">
        <v>40986.699214218235</v>
      </c>
      <c r="AF203" s="399"/>
      <c r="AG203" s="399"/>
      <c r="AH203" s="399"/>
      <c r="AI203" s="399">
        <v>0</v>
      </c>
      <c r="AJ203" s="399">
        <v>0</v>
      </c>
      <c r="AK203" s="399">
        <v>0</v>
      </c>
      <c r="AL203" s="399">
        <v>0</v>
      </c>
      <c r="AM203" s="399"/>
      <c r="AN203" s="399">
        <v>0</v>
      </c>
      <c r="AO203" s="399">
        <v>0</v>
      </c>
      <c r="AP203" s="399">
        <v>0</v>
      </c>
      <c r="AQ203" s="399">
        <v>0</v>
      </c>
      <c r="AR203" s="399">
        <v>0</v>
      </c>
      <c r="AS203" s="399"/>
      <c r="AT203" s="399"/>
      <c r="AU203" s="399">
        <v>0</v>
      </c>
      <c r="AV203" s="399">
        <v>0</v>
      </c>
      <c r="AW203" s="399">
        <v>0</v>
      </c>
      <c r="AX203" s="399"/>
      <c r="AY203" s="399"/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/>
      <c r="BG203" s="399">
        <v>0</v>
      </c>
      <c r="BH203" s="399">
        <v>0</v>
      </c>
      <c r="BI203" s="399">
        <v>0</v>
      </c>
      <c r="BJ203" s="399">
        <v>0</v>
      </c>
      <c r="BK203" s="399">
        <v>122949.17</v>
      </c>
      <c r="BL203" s="399">
        <v>3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0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57096</v>
      </c>
      <c r="CJ203" s="399">
        <v>-21472.029999999984</v>
      </c>
      <c r="CK203" s="399"/>
      <c r="CL203" s="399"/>
      <c r="CM203" s="399"/>
      <c r="CN203" s="399"/>
      <c r="CO203" s="399">
        <v>-21472.000000000007</v>
      </c>
      <c r="CP203" s="399">
        <v>0</v>
      </c>
      <c r="CQ203" s="399">
        <v>30</v>
      </c>
      <c r="CR203" s="399">
        <v>-289.59014697948442</v>
      </c>
      <c r="CS203" s="399">
        <v>0</v>
      </c>
      <c r="CT203" s="399">
        <v>0</v>
      </c>
      <c r="CU203" s="399">
        <v>0</v>
      </c>
      <c r="CV203" s="399">
        <v>0</v>
      </c>
      <c r="CW203" s="399"/>
      <c r="CX203" s="399"/>
      <c r="CY203" s="399"/>
      <c r="CZ203" s="399">
        <v>-289.59014697948442</v>
      </c>
      <c r="DA203" s="399">
        <v>0</v>
      </c>
      <c r="DB203" s="399">
        <v>0</v>
      </c>
      <c r="DC203" s="399"/>
      <c r="DD203" s="399"/>
      <c r="DE203" s="399">
        <v>0</v>
      </c>
      <c r="DF203" s="399">
        <v>0</v>
      </c>
      <c r="DG203" s="399">
        <v>0</v>
      </c>
      <c r="DH203" s="399">
        <v>0</v>
      </c>
      <c r="DI203" s="399">
        <v>0</v>
      </c>
      <c r="DJ203" s="399"/>
      <c r="DK203" s="399">
        <v>0</v>
      </c>
      <c r="DL203" s="399">
        <v>0</v>
      </c>
      <c r="DM203" s="399"/>
      <c r="DN203" s="399">
        <v>0</v>
      </c>
      <c r="DO203" s="399">
        <v>0</v>
      </c>
      <c r="DP203" s="399">
        <v>0</v>
      </c>
      <c r="DQ203" s="399">
        <v>0</v>
      </c>
      <c r="DR203" s="399">
        <v>0</v>
      </c>
      <c r="DS203" s="399"/>
      <c r="DT203" s="399"/>
      <c r="DU203" s="399">
        <v>40986.699214218235</v>
      </c>
      <c r="DV203" s="399"/>
      <c r="DW203" s="399">
        <v>0</v>
      </c>
      <c r="DX203" s="399">
        <v>0</v>
      </c>
      <c r="DY203" s="399">
        <v>-21472</v>
      </c>
      <c r="DZ203" s="399"/>
      <c r="EA203" s="399">
        <v>0</v>
      </c>
      <c r="EB203" s="399"/>
      <c r="EC203" s="399">
        <v>-21189.551021962558</v>
      </c>
      <c r="ED203" s="399"/>
      <c r="EE203" s="399">
        <v>0</v>
      </c>
      <c r="EF203" s="399">
        <v>0</v>
      </c>
      <c r="EG203" s="399"/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/>
      <c r="EN203" s="399"/>
      <c r="EO203" s="399">
        <v>0</v>
      </c>
      <c r="EP203" s="399">
        <v>0</v>
      </c>
      <c r="EQ203" s="399"/>
      <c r="ER203" s="399">
        <v>0</v>
      </c>
      <c r="ES203" s="399"/>
      <c r="ET203" s="399">
        <v>0</v>
      </c>
      <c r="EU203" s="399"/>
      <c r="EV203" s="399">
        <v>232</v>
      </c>
      <c r="EW203" s="399"/>
      <c r="EX203" s="399"/>
      <c r="EY203" s="399"/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205</v>
      </c>
      <c r="B204" s="399" t="s">
        <v>956</v>
      </c>
      <c r="C204" s="399" t="s">
        <v>2328</v>
      </c>
      <c r="D204" s="399" t="s">
        <v>1824</v>
      </c>
      <c r="E204" s="399" t="s">
        <v>918</v>
      </c>
      <c r="F204" s="399" t="s">
        <v>1239</v>
      </c>
      <c r="G204" s="399" t="s">
        <v>1239</v>
      </c>
      <c r="H204" s="399" t="s">
        <v>1239</v>
      </c>
      <c r="I204" s="399" t="s">
        <v>1239</v>
      </c>
      <c r="J204" s="399" t="s">
        <v>2326</v>
      </c>
      <c r="K204" s="788">
        <v>44713</v>
      </c>
      <c r="L204" s="399">
        <v>0</v>
      </c>
      <c r="M204" s="399">
        <v>0</v>
      </c>
      <c r="N204" s="399">
        <v>20.518000000000001</v>
      </c>
      <c r="O204" s="399">
        <v>20.518000000000001</v>
      </c>
      <c r="P204" s="399">
        <v>20.518000000000001</v>
      </c>
      <c r="Q204" s="399">
        <v>20.518000000000001</v>
      </c>
      <c r="R204" s="399"/>
      <c r="S204" s="399">
        <v>395.23</v>
      </c>
      <c r="T204" s="399">
        <v>297.72000000000003</v>
      </c>
      <c r="U204" s="399"/>
      <c r="V204" s="399">
        <v>14217.948100000001</v>
      </c>
      <c r="W204" s="399">
        <v>14217.948100000001</v>
      </c>
      <c r="X204" s="399">
        <v>12601.1297</v>
      </c>
      <c r="Y204" s="399">
        <v>0</v>
      </c>
      <c r="Z204" s="399">
        <v>1243.6291847009588</v>
      </c>
      <c r="AA204" s="399">
        <v>0</v>
      </c>
      <c r="AB204" s="399">
        <v>0</v>
      </c>
      <c r="AC204" s="399">
        <v>0</v>
      </c>
      <c r="AD204" s="399">
        <v>2039.4379701751438</v>
      </c>
      <c r="AE204" s="399">
        <v>4106.5711500815423</v>
      </c>
      <c r="AF204" s="399">
        <v>6108.6980974373027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192.27186778029738</v>
      </c>
      <c r="AM204" s="399"/>
      <c r="AN204" s="399">
        <v>18.268959161013139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509.12962104198675</v>
      </c>
      <c r="BH204" s="399">
        <v>0</v>
      </c>
      <c r="BI204" s="399">
        <v>0</v>
      </c>
      <c r="BJ204" s="399">
        <v>0</v>
      </c>
      <c r="BK204" s="399">
        <v>3863.45</v>
      </c>
      <c r="BL204" s="399">
        <v>47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6617.8277184792896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12602.358</v>
      </c>
      <c r="CJ204" s="399">
        <v>-1615.6201000000019</v>
      </c>
      <c r="CK204" s="399"/>
      <c r="CL204" s="399"/>
      <c r="CM204" s="399"/>
      <c r="CN204" s="399"/>
      <c r="CO204" s="399">
        <v>-1879.0384400000009</v>
      </c>
      <c r="CP204" s="399">
        <v>262.22003999999947</v>
      </c>
      <c r="CQ204" s="399">
        <v>30</v>
      </c>
      <c r="CR204" s="399">
        <v>506.05538937495839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-15.717028260188727</v>
      </c>
      <c r="DA204" s="399">
        <v>0</v>
      </c>
      <c r="DB204" s="399">
        <v>0</v>
      </c>
      <c r="DC204" s="399">
        <v>262.12657606590346</v>
      </c>
      <c r="DD204" s="399">
        <v>0</v>
      </c>
      <c r="DE204" s="399">
        <v>0</v>
      </c>
      <c r="DF204" s="399">
        <v>0</v>
      </c>
      <c r="DG204" s="399">
        <v>21.846947125026304</v>
      </c>
      <c r="DH204" s="399">
        <v>0</v>
      </c>
      <c r="DI204" s="399">
        <v>207.620034145315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28.001151246518077</v>
      </c>
      <c r="DP204" s="399">
        <v>2.1777090523825713</v>
      </c>
      <c r="DQ204" s="399">
        <v>0</v>
      </c>
      <c r="DR204" s="399">
        <v>0</v>
      </c>
      <c r="DS204" s="399"/>
      <c r="DT204" s="399"/>
      <c r="DU204" s="399"/>
      <c r="DV204" s="399">
        <v>4106.5711500815423</v>
      </c>
      <c r="DW204" s="399">
        <v>0</v>
      </c>
      <c r="DX204" s="399">
        <v>0</v>
      </c>
      <c r="DY204" s="399">
        <v>-1879.0384400000012</v>
      </c>
      <c r="DZ204" s="399">
        <v>262.22003999999924</v>
      </c>
      <c r="EA204" s="399">
        <v>0</v>
      </c>
      <c r="EB204" s="399">
        <v>0</v>
      </c>
      <c r="EC204" s="399">
        <v>-2123.0399270548396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232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206</v>
      </c>
      <c r="B205" s="399" t="s">
        <v>956</v>
      </c>
      <c r="C205" s="399" t="s">
        <v>2328</v>
      </c>
      <c r="D205" s="399" t="s">
        <v>2335</v>
      </c>
      <c r="E205" s="399" t="s">
        <v>894</v>
      </c>
      <c r="F205" s="399" t="s">
        <v>1239</v>
      </c>
      <c r="G205" s="399" t="s">
        <v>1239</v>
      </c>
      <c r="H205" s="399" t="s">
        <v>1239</v>
      </c>
      <c r="I205" s="399" t="s">
        <v>1239</v>
      </c>
      <c r="J205" s="399" t="s">
        <v>2326</v>
      </c>
      <c r="K205" s="788">
        <v>44713</v>
      </c>
      <c r="L205" s="399">
        <v>0</v>
      </c>
      <c r="M205" s="399">
        <v>0</v>
      </c>
      <c r="N205" s="399">
        <v>386.99599999999998</v>
      </c>
      <c r="O205" s="399">
        <v>386.99599999999998</v>
      </c>
      <c r="P205" s="399">
        <v>386.99599999999998</v>
      </c>
      <c r="Q205" s="399">
        <v>386.99599999999998</v>
      </c>
      <c r="R205" s="399"/>
      <c r="S205" s="399">
        <v>395.23</v>
      </c>
      <c r="T205" s="399">
        <v>297.72000000000003</v>
      </c>
      <c r="U205" s="399"/>
      <c r="V205" s="399">
        <v>268168.87820000004</v>
      </c>
      <c r="W205" s="399">
        <v>268168.87820000004</v>
      </c>
      <c r="X205" s="399">
        <v>237673.59339999995</v>
      </c>
      <c r="Y205" s="399">
        <v>0</v>
      </c>
      <c r="Z205" s="399">
        <v>23456.453843577943</v>
      </c>
      <c r="AA205" s="399">
        <v>0</v>
      </c>
      <c r="AB205" s="399">
        <v>0</v>
      </c>
      <c r="AC205" s="399">
        <v>0</v>
      </c>
      <c r="AD205" s="399">
        <v>38466.436139287449</v>
      </c>
      <c r="AE205" s="399">
        <v>77455.239730819594</v>
      </c>
      <c r="AF205" s="399">
        <v>115217.94175435451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3626.4959422703951</v>
      </c>
      <c r="AM205" s="399"/>
      <c r="AN205" s="399">
        <v>344.57618283826105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9602.8427149217605</v>
      </c>
      <c r="BH205" s="399">
        <v>0</v>
      </c>
      <c r="BI205" s="399">
        <v>1.21</v>
      </c>
      <c r="BJ205" s="399">
        <v>5.69</v>
      </c>
      <c r="BK205" s="399">
        <v>51931.41</v>
      </c>
      <c r="BL205" s="399">
        <v>946</v>
      </c>
      <c r="BM205" s="399"/>
      <c r="BN205" s="399"/>
      <c r="BO205" s="399"/>
      <c r="BP205" s="399"/>
      <c r="BQ205" s="399"/>
      <c r="BR205" s="399">
        <v>28521.605199999991</v>
      </c>
      <c r="BS205" s="399"/>
      <c r="BT205" s="399"/>
      <c r="BU205" s="399"/>
      <c r="BV205" s="399">
        <v>124820.78446927627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209154.15</v>
      </c>
      <c r="CJ205" s="399">
        <v>-26836.040800000017</v>
      </c>
      <c r="CK205" s="399"/>
      <c r="CL205" s="399"/>
      <c r="CM205" s="399"/>
      <c r="CN205" s="399"/>
      <c r="CO205" s="399">
        <v>-35441.093680000013</v>
      </c>
      <c r="CP205" s="399">
        <v>4945.8088799999896</v>
      </c>
      <c r="CQ205" s="399">
        <v>30</v>
      </c>
      <c r="CR205" s="399">
        <v>9544.8587321644882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-296.44346761769702</v>
      </c>
      <c r="DA205" s="399">
        <v>0</v>
      </c>
      <c r="DB205" s="399">
        <v>0</v>
      </c>
      <c r="DC205" s="399">
        <v>4944.0460293986107</v>
      </c>
      <c r="DD205" s="399">
        <v>0</v>
      </c>
      <c r="DE205" s="399">
        <v>0</v>
      </c>
      <c r="DF205" s="399">
        <v>0</v>
      </c>
      <c r="DG205" s="399">
        <v>412.06166047356965</v>
      </c>
      <c r="DH205" s="399">
        <v>0</v>
      </c>
      <c r="DI205" s="399">
        <v>3915.9821977824467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528.13790465920192</v>
      </c>
      <c r="DP205" s="399">
        <v>41.074407468361699</v>
      </c>
      <c r="DQ205" s="399">
        <v>0</v>
      </c>
      <c r="DR205" s="399">
        <v>0</v>
      </c>
      <c r="DS205" s="399"/>
      <c r="DT205" s="399"/>
      <c r="DU205" s="399"/>
      <c r="DV205" s="399">
        <v>77455.239730819594</v>
      </c>
      <c r="DW205" s="399">
        <v>0</v>
      </c>
      <c r="DX205" s="399">
        <v>0</v>
      </c>
      <c r="DY205" s="399">
        <v>-35441.09368000002</v>
      </c>
      <c r="DZ205" s="399">
        <v>4945.8088799999823</v>
      </c>
      <c r="EA205" s="399">
        <v>0</v>
      </c>
      <c r="EB205" s="399">
        <v>0</v>
      </c>
      <c r="EC205" s="399">
        <v>-40043.277103543951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232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207</v>
      </c>
      <c r="B206" s="399" t="s">
        <v>2330</v>
      </c>
      <c r="C206" s="399" t="s">
        <v>2328</v>
      </c>
      <c r="D206" s="399" t="s">
        <v>2335</v>
      </c>
      <c r="E206" s="399" t="s">
        <v>894</v>
      </c>
      <c r="F206" s="399" t="s">
        <v>1239</v>
      </c>
      <c r="G206" s="399" t="s">
        <v>1239</v>
      </c>
      <c r="H206" s="399" t="s">
        <v>1239</v>
      </c>
      <c r="I206" s="399" t="s">
        <v>1239</v>
      </c>
      <c r="J206" s="399" t="s">
        <v>2326</v>
      </c>
      <c r="K206" s="788">
        <v>44713</v>
      </c>
      <c r="L206" s="399">
        <v>0</v>
      </c>
      <c r="M206" s="399">
        <v>0</v>
      </c>
      <c r="N206" s="399">
        <v>49.85</v>
      </c>
      <c r="O206" s="399">
        <v>49.85</v>
      </c>
      <c r="P206" s="399">
        <v>49.85</v>
      </c>
      <c r="Q206" s="399">
        <v>49.85</v>
      </c>
      <c r="R206" s="399"/>
      <c r="S206" s="399">
        <v>395.23</v>
      </c>
      <c r="T206" s="399">
        <v>297.72000000000003</v>
      </c>
      <c r="U206" s="399"/>
      <c r="V206" s="399">
        <v>34543.557500000003</v>
      </c>
      <c r="W206" s="399">
        <v>34543.557500000003</v>
      </c>
      <c r="X206" s="399">
        <v>30615.377500000002</v>
      </c>
      <c r="Y206" s="399">
        <v>0</v>
      </c>
      <c r="Z206" s="399">
        <v>3021.4891732792084</v>
      </c>
      <c r="AA206" s="399">
        <v>0</v>
      </c>
      <c r="AB206" s="399">
        <v>0</v>
      </c>
      <c r="AC206" s="399">
        <v>0</v>
      </c>
      <c r="AD206" s="399">
        <v>4954.9655333478368</v>
      </c>
      <c r="AE206" s="399">
        <v>9977.218629084944</v>
      </c>
      <c r="AF206" s="399">
        <v>14841.534270262673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467.13873715020105</v>
      </c>
      <c r="AM206" s="399"/>
      <c r="AN206" s="399">
        <v>44.38578877943781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1236.9681064890847</v>
      </c>
      <c r="BH206" s="399">
        <v>0</v>
      </c>
      <c r="BI206" s="399">
        <v>0</v>
      </c>
      <c r="BJ206" s="399">
        <v>0</v>
      </c>
      <c r="BK206" s="399">
        <v>14050.84</v>
      </c>
      <c r="BL206" s="399">
        <v>27</v>
      </c>
      <c r="BM206" s="399"/>
      <c r="BN206" s="399"/>
      <c r="BO206" s="399"/>
      <c r="BP206" s="399"/>
      <c r="BQ206" s="399"/>
      <c r="BR206" s="399">
        <v>3673.9449999999997</v>
      </c>
      <c r="BS206" s="399"/>
      <c r="BT206" s="399"/>
      <c r="BU206" s="399"/>
      <c r="BV206" s="399">
        <v>16078.502376751758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26941.432500000003</v>
      </c>
      <c r="CJ206" s="399">
        <v>-3457.1274999999951</v>
      </c>
      <c r="CK206" s="399"/>
      <c r="CL206" s="399"/>
      <c r="CM206" s="399"/>
      <c r="CN206" s="399"/>
      <c r="CO206" s="399">
        <v>-4565.2630000000017</v>
      </c>
      <c r="CP206" s="399">
        <v>637.08299999999861</v>
      </c>
      <c r="CQ206" s="399">
        <v>30</v>
      </c>
      <c r="CR206" s="399">
        <v>1229.4990330608052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-38.185683729915581</v>
      </c>
      <c r="DA206" s="399">
        <v>0</v>
      </c>
      <c r="DB206" s="399">
        <v>0</v>
      </c>
      <c r="DC206" s="399">
        <v>636.85592245273983</v>
      </c>
      <c r="DD206" s="399">
        <v>0</v>
      </c>
      <c r="DE206" s="399">
        <v>0</v>
      </c>
      <c r="DF206" s="399">
        <v>0</v>
      </c>
      <c r="DG206" s="399">
        <v>53.078775425605045</v>
      </c>
      <c r="DH206" s="399">
        <v>0</v>
      </c>
      <c r="DI206" s="399">
        <v>504.42824359800898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68.030869950235171</v>
      </c>
      <c r="DP206" s="399">
        <v>5.2909053641325272</v>
      </c>
      <c r="DQ206" s="399">
        <v>0</v>
      </c>
      <c r="DR206" s="399">
        <v>0</v>
      </c>
      <c r="DS206" s="399"/>
      <c r="DT206" s="399"/>
      <c r="DU206" s="399"/>
      <c r="DV206" s="399">
        <v>9977.218629084944</v>
      </c>
      <c r="DW206" s="399">
        <v>0</v>
      </c>
      <c r="DX206" s="399">
        <v>0</v>
      </c>
      <c r="DY206" s="399">
        <v>-4565.2630000000026</v>
      </c>
      <c r="DZ206" s="399">
        <v>637.08299999999872</v>
      </c>
      <c r="EA206" s="399">
        <v>0</v>
      </c>
      <c r="EB206" s="399">
        <v>0</v>
      </c>
      <c r="EC206" s="399">
        <v>-5158.0826768536781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232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208</v>
      </c>
      <c r="B207" s="399" t="s">
        <v>956</v>
      </c>
      <c r="C207" s="399" t="s">
        <v>2328</v>
      </c>
      <c r="D207" s="399" t="s">
        <v>1824</v>
      </c>
      <c r="E207" s="399" t="s">
        <v>2336</v>
      </c>
      <c r="F207" s="399" t="s">
        <v>1239</v>
      </c>
      <c r="G207" s="399" t="s">
        <v>1239</v>
      </c>
      <c r="H207" s="399" t="s">
        <v>1239</v>
      </c>
      <c r="I207" s="399" t="s">
        <v>1239</v>
      </c>
      <c r="J207" s="399" t="s">
        <v>2326</v>
      </c>
      <c r="K207" s="788">
        <v>44713</v>
      </c>
      <c r="L207" s="399">
        <v>0</v>
      </c>
      <c r="M207" s="399">
        <v>0</v>
      </c>
      <c r="N207" s="399">
        <v>0.751</v>
      </c>
      <c r="O207" s="399">
        <v>0.751</v>
      </c>
      <c r="P207" s="399">
        <v>0.751</v>
      </c>
      <c r="Q207" s="399">
        <v>0.751</v>
      </c>
      <c r="R207" s="399"/>
      <c r="S207" s="399">
        <v>395.23</v>
      </c>
      <c r="T207" s="399">
        <v>297.72000000000003</v>
      </c>
      <c r="U207" s="399"/>
      <c r="V207" s="399">
        <v>520.40545000000009</v>
      </c>
      <c r="W207" s="399">
        <v>520.40545000000009</v>
      </c>
      <c r="X207" s="399">
        <v>461.22664999999995</v>
      </c>
      <c r="Y207" s="399">
        <v>0</v>
      </c>
      <c r="Z207" s="399">
        <v>45.519325358729894</v>
      </c>
      <c r="AA207" s="399">
        <v>0</v>
      </c>
      <c r="AB207" s="399">
        <v>0</v>
      </c>
      <c r="AC207" s="399">
        <v>0</v>
      </c>
      <c r="AD207" s="399">
        <v>74.647524885541131</v>
      </c>
      <c r="AE207" s="399">
        <v>150.30875005903297</v>
      </c>
      <c r="AF207" s="399">
        <v>223.59061658911267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7.0375364413199799</v>
      </c>
      <c r="AM207" s="399"/>
      <c r="AN207" s="399">
        <v>0.6686805892348604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18.63516645884258</v>
      </c>
      <c r="BH207" s="399">
        <v>0</v>
      </c>
      <c r="BI207" s="399">
        <v>0</v>
      </c>
      <c r="BJ207" s="399">
        <v>0</v>
      </c>
      <c r="BK207" s="399">
        <v>148.93</v>
      </c>
      <c r="BL207" s="399">
        <v>17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242.22578304795525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460.61249999999995</v>
      </c>
      <c r="CJ207" s="399">
        <v>-59.822950000000105</v>
      </c>
      <c r="CK207" s="399"/>
      <c r="CL207" s="399"/>
      <c r="CM207" s="399"/>
      <c r="CN207" s="399"/>
      <c r="CO207" s="399">
        <v>-68.776580000000024</v>
      </c>
      <c r="CP207" s="399">
        <v>9.5977799999999789</v>
      </c>
      <c r="CQ207" s="399">
        <v>30</v>
      </c>
      <c r="CR207" s="399">
        <v>18.522643406793691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-0.57527479400533821</v>
      </c>
      <c r="DA207" s="399">
        <v>0</v>
      </c>
      <c r="DB207" s="399">
        <v>0</v>
      </c>
      <c r="DC207" s="399">
        <v>9.5943590323371666</v>
      </c>
      <c r="DD207" s="399">
        <v>0</v>
      </c>
      <c r="DE207" s="399">
        <v>0</v>
      </c>
      <c r="DF207" s="399">
        <v>0</v>
      </c>
      <c r="DG207" s="399">
        <v>0.79964213329246547</v>
      </c>
      <c r="DH207" s="399">
        <v>0</v>
      </c>
      <c r="DI207" s="399">
        <v>7.5993101492899697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1.024898361737745</v>
      </c>
      <c r="DP207" s="399">
        <v>7.9708524141695714E-2</v>
      </c>
      <c r="DQ207" s="399">
        <v>0</v>
      </c>
      <c r="DR207" s="399">
        <v>0</v>
      </c>
      <c r="DS207" s="399"/>
      <c r="DT207" s="399"/>
      <c r="DU207" s="399"/>
      <c r="DV207" s="399">
        <v>150.30875005903297</v>
      </c>
      <c r="DW207" s="399">
        <v>0</v>
      </c>
      <c r="DX207" s="399">
        <v>0</v>
      </c>
      <c r="DY207" s="399">
        <v>-68.776580000000052</v>
      </c>
      <c r="DZ207" s="399">
        <v>9.5977799999999718</v>
      </c>
      <c r="EA207" s="399">
        <v>0</v>
      </c>
      <c r="EB207" s="399">
        <v>0</v>
      </c>
      <c r="EC207" s="399">
        <v>-77.707524379480702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232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209</v>
      </c>
      <c r="B208" s="399" t="s">
        <v>956</v>
      </c>
      <c r="C208" s="399" t="s">
        <v>2328</v>
      </c>
      <c r="D208" s="399" t="s">
        <v>2337</v>
      </c>
      <c r="E208" s="399" t="s">
        <v>2338</v>
      </c>
      <c r="F208" s="399" t="s">
        <v>2339</v>
      </c>
      <c r="G208" s="399" t="s">
        <v>1239</v>
      </c>
      <c r="H208" s="399" t="s">
        <v>1239</v>
      </c>
      <c r="I208" s="399" t="s">
        <v>1239</v>
      </c>
      <c r="J208" s="399" t="s">
        <v>2326</v>
      </c>
      <c r="K208" s="788">
        <v>44713</v>
      </c>
      <c r="L208" s="399">
        <v>0</v>
      </c>
      <c r="M208" s="399">
        <v>0</v>
      </c>
      <c r="N208" s="399">
        <v>20.5</v>
      </c>
      <c r="O208" s="399">
        <v>20.5</v>
      </c>
      <c r="P208" s="399">
        <v>20.5</v>
      </c>
      <c r="Q208" s="399">
        <v>20.5</v>
      </c>
      <c r="R208" s="399"/>
      <c r="S208" s="399">
        <v>217.38</v>
      </c>
      <c r="T208" s="399">
        <v>163.75</v>
      </c>
      <c r="U208" s="399"/>
      <c r="V208" s="399">
        <v>7813.165</v>
      </c>
      <c r="W208" s="399">
        <v>7813.165</v>
      </c>
      <c r="X208" s="399">
        <v>6924.49</v>
      </c>
      <c r="Y208" s="399">
        <v>0</v>
      </c>
      <c r="Z208" s="399">
        <v>683.39599656415407</v>
      </c>
      <c r="AA208" s="399">
        <v>0</v>
      </c>
      <c r="AB208" s="399">
        <v>0</v>
      </c>
      <c r="AC208" s="399">
        <v>0</v>
      </c>
      <c r="AD208" s="399">
        <v>1120.7068483148817</v>
      </c>
      <c r="AE208" s="399">
        <v>2256.6326989555246</v>
      </c>
      <c r="AF208" s="399">
        <v>3356.83648740645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105.6567554938518</v>
      </c>
      <c r="AM208" s="399"/>
      <c r="AN208" s="399">
        <v>10.039112707886876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279.77563491804278</v>
      </c>
      <c r="BH208" s="399">
        <v>0</v>
      </c>
      <c r="BI208" s="399">
        <v>0</v>
      </c>
      <c r="BJ208" s="399">
        <v>0</v>
      </c>
      <c r="BK208" s="399">
        <v>2308.16</v>
      </c>
      <c r="BL208" s="399">
        <v>1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3636.6121223244927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6924.49</v>
      </c>
      <c r="CJ208" s="399">
        <v>-888.70500000000084</v>
      </c>
      <c r="CK208" s="399"/>
      <c r="CL208" s="399"/>
      <c r="CM208" s="399"/>
      <c r="CN208" s="399"/>
      <c r="CO208" s="399">
        <v>-1032.585</v>
      </c>
      <c r="CP208" s="399">
        <v>143.9100000000002</v>
      </c>
      <c r="CQ208" s="399">
        <v>30</v>
      </c>
      <c r="CR208" s="399">
        <v>278.08629082769949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-8.6367820271771052</v>
      </c>
      <c r="DA208" s="399">
        <v>0</v>
      </c>
      <c r="DB208" s="399">
        <v>0</v>
      </c>
      <c r="DC208" s="399">
        <v>144.04313993289634</v>
      </c>
      <c r="DD208" s="399">
        <v>0</v>
      </c>
      <c r="DE208" s="399">
        <v>0</v>
      </c>
      <c r="DF208" s="399">
        <v>0</v>
      </c>
      <c r="DG208" s="399">
        <v>12.005279697566664</v>
      </c>
      <c r="DH208" s="399">
        <v>0</v>
      </c>
      <c r="DI208" s="399">
        <v>114.09084145571751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15.387122541402746</v>
      </c>
      <c r="DP208" s="399">
        <v>1.1966892272937777</v>
      </c>
      <c r="DQ208" s="399">
        <v>0</v>
      </c>
      <c r="DR208" s="399">
        <v>0</v>
      </c>
      <c r="DS208" s="399"/>
      <c r="DT208" s="399"/>
      <c r="DU208" s="399"/>
      <c r="DV208" s="399">
        <v>2256.6326989555246</v>
      </c>
      <c r="DW208" s="399">
        <v>0</v>
      </c>
      <c r="DX208" s="399">
        <v>0</v>
      </c>
      <c r="DY208" s="399">
        <v>-1032.585</v>
      </c>
      <c r="DZ208" s="399">
        <v>143.91000000000031</v>
      </c>
      <c r="EA208" s="399">
        <v>0</v>
      </c>
      <c r="EB208" s="399">
        <v>0</v>
      </c>
      <c r="EC208" s="399">
        <v>-1166.647586389676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232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210</v>
      </c>
      <c r="B209" s="399" t="s">
        <v>956</v>
      </c>
      <c r="C209" s="399" t="s">
        <v>2328</v>
      </c>
      <c r="D209" s="399" t="s">
        <v>1824</v>
      </c>
      <c r="E209" s="399" t="s">
        <v>921</v>
      </c>
      <c r="F209" s="399" t="s">
        <v>2327</v>
      </c>
      <c r="G209" s="399" t="s">
        <v>1239</v>
      </c>
      <c r="H209" s="399" t="s">
        <v>1239</v>
      </c>
      <c r="I209" s="399" t="s">
        <v>1239</v>
      </c>
      <c r="J209" s="399" t="s">
        <v>2326</v>
      </c>
      <c r="K209" s="788">
        <v>44713</v>
      </c>
      <c r="L209" s="399">
        <v>0</v>
      </c>
      <c r="M209" s="399">
        <v>0</v>
      </c>
      <c r="N209" s="399">
        <v>0.32600000000000001</v>
      </c>
      <c r="O209" s="399">
        <v>0.30643999999999999</v>
      </c>
      <c r="P209" s="399">
        <v>0.32600000000000001</v>
      </c>
      <c r="Q209" s="399">
        <v>0.30643999999999999</v>
      </c>
      <c r="R209" s="399"/>
      <c r="S209" s="399">
        <v>395.23</v>
      </c>
      <c r="T209" s="399">
        <v>297.72000000000003</v>
      </c>
      <c r="U209" s="399"/>
      <c r="V209" s="399">
        <v>225.90170000000003</v>
      </c>
      <c r="W209" s="399">
        <v>225.90170000000003</v>
      </c>
      <c r="X209" s="399">
        <v>200.21289999999999</v>
      </c>
      <c r="Y209" s="399">
        <v>0</v>
      </c>
      <c r="Z209" s="399">
        <v>19.759387572497932</v>
      </c>
      <c r="AA209" s="399">
        <v>0</v>
      </c>
      <c r="AB209" s="399">
        <v>0</v>
      </c>
      <c r="AC209" s="399">
        <v>0</v>
      </c>
      <c r="AD209" s="399">
        <v>32.403586035534502</v>
      </c>
      <c r="AE209" s="399">
        <v>65.247207082882483</v>
      </c>
      <c r="AF209" s="399">
        <v>97.057977374235335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3.0549092941016158</v>
      </c>
      <c r="AM209" s="399"/>
      <c r="AN209" s="399">
        <v>0.29026614126573169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8.0892999541713468</v>
      </c>
      <c r="BH209" s="399">
        <v>0</v>
      </c>
      <c r="BI209" s="399">
        <v>0</v>
      </c>
      <c r="BJ209" s="399">
        <v>0</v>
      </c>
      <c r="BK209" s="399">
        <v>64.66</v>
      </c>
      <c r="BL209" s="399">
        <v>2</v>
      </c>
      <c r="BM209" s="399"/>
      <c r="BN209" s="399"/>
      <c r="BO209" s="399"/>
      <c r="BP209" s="399"/>
      <c r="BQ209" s="399">
        <v>12.012774000000013</v>
      </c>
      <c r="BR209" s="399"/>
      <c r="BS209" s="399"/>
      <c r="BT209" s="399"/>
      <c r="BU209" s="399"/>
      <c r="BV209" s="399">
        <v>105.14727732840669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190.38649999999998</v>
      </c>
      <c r="CJ209" s="399">
        <v>-21.991098000000051</v>
      </c>
      <c r="CK209" s="399"/>
      <c r="CL209" s="399"/>
      <c r="CM209" s="399"/>
      <c r="CN209" s="399"/>
      <c r="CO209" s="399">
        <v>-29.855080000000015</v>
      </c>
      <c r="CP209" s="399">
        <v>4.1662799999999915</v>
      </c>
      <c r="CQ209" s="399">
        <v>30</v>
      </c>
      <c r="CR209" s="399">
        <v>8.0404550607386795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-0.24971981737116522</v>
      </c>
      <c r="DA209" s="399">
        <v>0</v>
      </c>
      <c r="DB209" s="399">
        <v>0</v>
      </c>
      <c r="DC209" s="399">
        <v>4.1647949993900397</v>
      </c>
      <c r="DD209" s="399">
        <v>0</v>
      </c>
      <c r="DE209" s="399">
        <v>0</v>
      </c>
      <c r="DF209" s="399">
        <v>0</v>
      </c>
      <c r="DG209" s="399">
        <v>0.34711496065691527</v>
      </c>
      <c r="DH209" s="399">
        <v>0</v>
      </c>
      <c r="DI209" s="399">
        <v>3.2987684536198785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0.44489595995539943</v>
      </c>
      <c r="DP209" s="399">
        <v>3.4600504487606931E-2</v>
      </c>
      <c r="DQ209" s="399">
        <v>0</v>
      </c>
      <c r="DR209" s="399">
        <v>0</v>
      </c>
      <c r="DS209" s="399"/>
      <c r="DT209" s="399"/>
      <c r="DU209" s="399"/>
      <c r="DV209" s="399">
        <v>65.247207082882483</v>
      </c>
      <c r="DW209" s="399">
        <v>0</v>
      </c>
      <c r="DX209" s="399">
        <v>0</v>
      </c>
      <c r="DY209" s="399">
        <v>-29.855080000000029</v>
      </c>
      <c r="DZ209" s="399">
        <v>4.1662799999999862</v>
      </c>
      <c r="EA209" s="399">
        <v>0</v>
      </c>
      <c r="EB209" s="399">
        <v>0</v>
      </c>
      <c r="EC209" s="399">
        <v>-33.731894737297878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232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211</v>
      </c>
      <c r="B210" s="399" t="s">
        <v>956</v>
      </c>
      <c r="C210" s="399" t="s">
        <v>2328</v>
      </c>
      <c r="D210" s="399" t="s">
        <v>1821</v>
      </c>
      <c r="E210" s="399" t="s">
        <v>889</v>
      </c>
      <c r="F210" s="399" t="s">
        <v>889</v>
      </c>
      <c r="G210" s="399" t="s">
        <v>1239</v>
      </c>
      <c r="H210" s="399" t="s">
        <v>1239</v>
      </c>
      <c r="I210" s="399" t="s">
        <v>1239</v>
      </c>
      <c r="J210" s="399" t="s">
        <v>2326</v>
      </c>
      <c r="K210" s="788">
        <v>44743</v>
      </c>
      <c r="L210" s="399">
        <v>0</v>
      </c>
      <c r="M210" s="399">
        <v>0</v>
      </c>
      <c r="N210" s="399">
        <v>34.405000000000001</v>
      </c>
      <c r="O210" s="399">
        <v>34.405000000000001</v>
      </c>
      <c r="P210" s="399">
        <v>34.405000000000001</v>
      </c>
      <c r="Q210" s="399">
        <v>34.405000000000001</v>
      </c>
      <c r="R210" s="399"/>
      <c r="S210" s="399">
        <v>395.23</v>
      </c>
      <c r="T210" s="399">
        <v>297.72000000000003</v>
      </c>
      <c r="U210" s="399"/>
      <c r="V210" s="399">
        <v>23840.944750000002</v>
      </c>
      <c r="W210" s="399">
        <v>23840.944750000002</v>
      </c>
      <c r="X210" s="399">
        <v>21129.830750000001</v>
      </c>
      <c r="Y210" s="399">
        <v>0</v>
      </c>
      <c r="Z210" s="399">
        <v>2085.3427283183782</v>
      </c>
      <c r="AA210" s="399">
        <v>0</v>
      </c>
      <c r="AB210" s="399">
        <v>0</v>
      </c>
      <c r="AC210" s="399">
        <v>0</v>
      </c>
      <c r="AD210" s="399">
        <v>3419.7710967870075</v>
      </c>
      <c r="AE210" s="399">
        <v>6885.982084928135</v>
      </c>
      <c r="AF210" s="399">
        <v>10243.189299265541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322.40538117658309</v>
      </c>
      <c r="AM210" s="399"/>
      <c r="AN210" s="399">
        <v>30.633762546771468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853.71891080756188</v>
      </c>
      <c r="BH210" s="399">
        <v>0</v>
      </c>
      <c r="BI210" s="399">
        <v>0</v>
      </c>
      <c r="BJ210" s="399">
        <v>0</v>
      </c>
      <c r="BK210" s="399">
        <v>3049.29</v>
      </c>
      <c r="BL210" s="399">
        <v>267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11096.908210073103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21132.901499999996</v>
      </c>
      <c r="CJ210" s="399">
        <v>-2708.0732500000049</v>
      </c>
      <c r="CK210" s="399"/>
      <c r="CL210" s="399"/>
      <c r="CM210" s="399"/>
      <c r="CN210" s="399"/>
      <c r="CO210" s="399">
        <v>-3150.8099000000016</v>
      </c>
      <c r="CP210" s="399">
        <v>439.69589999999909</v>
      </c>
      <c r="CQ210" s="399">
        <v>31</v>
      </c>
      <c r="CR210" s="399">
        <v>848.56397657887646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-26.354632873174069</v>
      </c>
      <c r="DA210" s="399">
        <v>0</v>
      </c>
      <c r="DB210" s="399">
        <v>0</v>
      </c>
      <c r="DC210" s="399">
        <v>439.53917777305105</v>
      </c>
      <c r="DD210" s="399">
        <v>0</v>
      </c>
      <c r="DE210" s="399">
        <v>0</v>
      </c>
      <c r="DF210" s="399">
        <v>0</v>
      </c>
      <c r="DG210" s="399">
        <v>36.633405587120137</v>
      </c>
      <c r="DH210" s="399">
        <v>0</v>
      </c>
      <c r="DI210" s="399">
        <v>348.1414989165396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46.95290031369791</v>
      </c>
      <c r="DP210" s="399">
        <v>3.6516268616445267</v>
      </c>
      <c r="DQ210" s="399">
        <v>0</v>
      </c>
      <c r="DR210" s="399">
        <v>0</v>
      </c>
      <c r="DS210" s="399"/>
      <c r="DT210" s="399"/>
      <c r="DU210" s="399"/>
      <c r="DV210" s="399">
        <v>6885.982084928135</v>
      </c>
      <c r="DW210" s="399">
        <v>0</v>
      </c>
      <c r="DX210" s="399">
        <v>0</v>
      </c>
      <c r="DY210" s="399">
        <v>-3150.809900000002</v>
      </c>
      <c r="DZ210" s="399">
        <v>439.6958999999988</v>
      </c>
      <c r="EA210" s="399">
        <v>0</v>
      </c>
      <c r="EB210" s="399">
        <v>0</v>
      </c>
      <c r="EC210" s="399">
        <v>-3559.9565596218822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232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212</v>
      </c>
      <c r="B211" s="399" t="s">
        <v>2330</v>
      </c>
      <c r="C211" s="399" t="s">
        <v>2328</v>
      </c>
      <c r="D211" s="399" t="s">
        <v>1821</v>
      </c>
      <c r="E211" s="399" t="s">
        <v>889</v>
      </c>
      <c r="F211" s="399" t="s">
        <v>889</v>
      </c>
      <c r="G211" s="399" t="s">
        <v>1239</v>
      </c>
      <c r="H211" s="399" t="s">
        <v>1239</v>
      </c>
      <c r="I211" s="399" t="s">
        <v>1239</v>
      </c>
      <c r="J211" s="399" t="s">
        <v>2326</v>
      </c>
      <c r="K211" s="788">
        <v>44743</v>
      </c>
      <c r="L211" s="399">
        <v>0</v>
      </c>
      <c r="M211" s="399">
        <v>0</v>
      </c>
      <c r="N211" s="399">
        <v>0.1</v>
      </c>
      <c r="O211" s="399">
        <v>0.1</v>
      </c>
      <c r="P211" s="399">
        <v>0.1</v>
      </c>
      <c r="Q211" s="399">
        <v>0.1</v>
      </c>
      <c r="R211" s="399"/>
      <c r="S211" s="399">
        <v>395.23</v>
      </c>
      <c r="T211" s="399">
        <v>297.72000000000003</v>
      </c>
      <c r="U211" s="399"/>
      <c r="V211" s="399">
        <v>69.295000000000016</v>
      </c>
      <c r="W211" s="399">
        <v>69.295000000000016</v>
      </c>
      <c r="X211" s="399">
        <v>61.414999999999999</v>
      </c>
      <c r="Y211" s="399">
        <v>0</v>
      </c>
      <c r="Z211" s="399">
        <v>6.0611618320545801</v>
      </c>
      <c r="AA211" s="399">
        <v>0</v>
      </c>
      <c r="AB211" s="399">
        <v>0</v>
      </c>
      <c r="AC211" s="399">
        <v>0</v>
      </c>
      <c r="AD211" s="399">
        <v>9.9397503176486204</v>
      </c>
      <c r="AE211" s="399">
        <v>20.014480700270703</v>
      </c>
      <c r="AF211" s="399">
        <v>29.772385697618201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0.937088740521968</v>
      </c>
      <c r="AM211" s="399"/>
      <c r="AN211" s="399">
        <v>8.9038693639794997E-2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2.4813803540402901</v>
      </c>
      <c r="BH211" s="399">
        <v>0</v>
      </c>
      <c r="BI211" s="399">
        <v>0</v>
      </c>
      <c r="BJ211" s="399">
        <v>0</v>
      </c>
      <c r="BK211" s="399">
        <v>23.18</v>
      </c>
      <c r="BL211" s="399">
        <v>1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32.253766051658488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61.414999999999999</v>
      </c>
      <c r="CJ211" s="399">
        <v>-7.9100000000000037</v>
      </c>
      <c r="CK211" s="399"/>
      <c r="CL211" s="399"/>
      <c r="CM211" s="399"/>
      <c r="CN211" s="399"/>
      <c r="CO211" s="399">
        <v>-9.1580000000000048</v>
      </c>
      <c r="CP211" s="399">
        <v>1.2779999999999974</v>
      </c>
      <c r="CQ211" s="399">
        <v>31</v>
      </c>
      <c r="CR211" s="399">
        <v>2.4663972578952951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-7.6601170972748989E-2</v>
      </c>
      <c r="DA211" s="399">
        <v>0</v>
      </c>
      <c r="DB211" s="399">
        <v>0</v>
      </c>
      <c r="DC211" s="399">
        <v>1.2775444783405021</v>
      </c>
      <c r="DD211" s="399">
        <v>0</v>
      </c>
      <c r="DE211" s="399">
        <v>0</v>
      </c>
      <c r="DF211" s="399">
        <v>0</v>
      </c>
      <c r="DG211" s="399">
        <v>0.10647698179660026</v>
      </c>
      <c r="DH211" s="399">
        <v>0</v>
      </c>
      <c r="DI211" s="399">
        <v>1.0118921636870795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0.13647115336055216</v>
      </c>
      <c r="DP211" s="399">
        <v>1.0613651683315017E-2</v>
      </c>
      <c r="DQ211" s="399">
        <v>0</v>
      </c>
      <c r="DR211" s="399">
        <v>0</v>
      </c>
      <c r="DS211" s="399"/>
      <c r="DT211" s="399"/>
      <c r="DU211" s="399"/>
      <c r="DV211" s="399">
        <v>20.014480700270703</v>
      </c>
      <c r="DW211" s="399">
        <v>0</v>
      </c>
      <c r="DX211" s="399">
        <v>0</v>
      </c>
      <c r="DY211" s="399">
        <v>-9.1580000000000048</v>
      </c>
      <c r="DZ211" s="399">
        <v>1.2779999999999951</v>
      </c>
      <c r="EA211" s="399">
        <v>0</v>
      </c>
      <c r="EB211" s="399">
        <v>0</v>
      </c>
      <c r="EC211" s="399">
        <v>-10.347206974631252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232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213</v>
      </c>
      <c r="B212" s="399" t="s">
        <v>956</v>
      </c>
      <c r="C212" s="399" t="s">
        <v>2328</v>
      </c>
      <c r="D212" s="399" t="s">
        <v>1821</v>
      </c>
      <c r="E212" s="399" t="s">
        <v>889</v>
      </c>
      <c r="F212" s="399" t="s">
        <v>2331</v>
      </c>
      <c r="G212" s="399" t="s">
        <v>1239</v>
      </c>
      <c r="H212" s="399" t="s">
        <v>1239</v>
      </c>
      <c r="I212" s="399" t="s">
        <v>1239</v>
      </c>
      <c r="J212" s="399" t="s">
        <v>2326</v>
      </c>
      <c r="K212" s="788">
        <v>44743</v>
      </c>
      <c r="L212" s="399">
        <v>0</v>
      </c>
      <c r="M212" s="399">
        <v>0</v>
      </c>
      <c r="N212" s="399">
        <v>0.3</v>
      </c>
      <c r="O212" s="399">
        <v>0.3</v>
      </c>
      <c r="P212" s="399">
        <v>0.3</v>
      </c>
      <c r="Q212" s="399">
        <v>0.3</v>
      </c>
      <c r="R212" s="399"/>
      <c r="S212" s="399">
        <v>325.25</v>
      </c>
      <c r="T212" s="399">
        <v>297.72000000000003</v>
      </c>
      <c r="U212" s="399"/>
      <c r="V212" s="399">
        <v>186.89100000000002</v>
      </c>
      <c r="W212" s="399">
        <v>186.89100000000002</v>
      </c>
      <c r="X212" s="399">
        <v>159.80399999999997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29.819250952945858</v>
      </c>
      <c r="AE212" s="399">
        <v>60.043442100812101</v>
      </c>
      <c r="AF212" s="399">
        <v>89.3171570928546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0.26711608091938499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7.4441410621208703</v>
      </c>
      <c r="BH212" s="399">
        <v>0</v>
      </c>
      <c r="BI212" s="399">
        <v>0</v>
      </c>
      <c r="BJ212" s="399">
        <v>0</v>
      </c>
      <c r="BK212" s="399">
        <v>7.3</v>
      </c>
      <c r="BL212" s="399">
        <v>2</v>
      </c>
      <c r="BM212" s="399"/>
      <c r="BN212" s="399"/>
      <c r="BO212" s="399"/>
      <c r="BP212" s="399"/>
      <c r="BQ212" s="399"/>
      <c r="BR212" s="399"/>
      <c r="BS212" s="399"/>
      <c r="BT212" s="399">
        <v>103.875</v>
      </c>
      <c r="BU212" s="399"/>
      <c r="BV212" s="399">
        <v>96.761298154975464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55.929000000000002</v>
      </c>
      <c r="CJ212" s="399">
        <v>-9.512999999999991</v>
      </c>
      <c r="CK212" s="399"/>
      <c r="CL212" s="399"/>
      <c r="CM212" s="399"/>
      <c r="CN212" s="399"/>
      <c r="CO212" s="399">
        <v>-30.920999999999996</v>
      </c>
      <c r="CP212" s="399">
        <v>3.8339999999999916</v>
      </c>
      <c r="CQ212" s="399">
        <v>31</v>
      </c>
      <c r="CR212" s="399">
        <v>3.9541018225430093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-0.22980351291824874</v>
      </c>
      <c r="DA212" s="399">
        <v>0</v>
      </c>
      <c r="DB212" s="399">
        <v>0</v>
      </c>
      <c r="DC212" s="399">
        <v>3.8326334350215063</v>
      </c>
      <c r="DD212" s="399">
        <v>0</v>
      </c>
      <c r="DE212" s="399">
        <v>0</v>
      </c>
      <c r="DF212" s="399">
        <v>0</v>
      </c>
      <c r="DG212" s="399">
        <v>0.31943094538979899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0</v>
      </c>
      <c r="DP212" s="399">
        <v>3.1840955049944997E-2</v>
      </c>
      <c r="DQ212" s="399">
        <v>0</v>
      </c>
      <c r="DR212" s="399">
        <v>0</v>
      </c>
      <c r="DS212" s="399"/>
      <c r="DT212" s="399"/>
      <c r="DU212" s="399"/>
      <c r="DV212" s="399">
        <v>60.043442100812101</v>
      </c>
      <c r="DW212" s="399">
        <v>0</v>
      </c>
      <c r="DX212" s="399">
        <v>0</v>
      </c>
      <c r="DY212" s="399">
        <v>-30.921000000000006</v>
      </c>
      <c r="DZ212" s="399">
        <v>3.833999999999989</v>
      </c>
      <c r="EA212" s="399">
        <v>0</v>
      </c>
      <c r="EB212" s="399">
        <v>0</v>
      </c>
      <c r="EC212" s="399">
        <v>-31.041620923893753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232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214</v>
      </c>
      <c r="B213" s="399" t="s">
        <v>956</v>
      </c>
      <c r="C213" s="399" t="s">
        <v>2328</v>
      </c>
      <c r="D213" s="399" t="s">
        <v>1821</v>
      </c>
      <c r="E213" s="399" t="s">
        <v>889</v>
      </c>
      <c r="F213" s="399" t="s">
        <v>2332</v>
      </c>
      <c r="G213" s="399" t="s">
        <v>1239</v>
      </c>
      <c r="H213" s="399" t="s">
        <v>1239</v>
      </c>
      <c r="I213" s="399" t="s">
        <v>1239</v>
      </c>
      <c r="J213" s="399" t="s">
        <v>2326</v>
      </c>
      <c r="K213" s="788">
        <v>44743</v>
      </c>
      <c r="L213" s="399">
        <v>0</v>
      </c>
      <c r="M213" s="399">
        <v>0</v>
      </c>
      <c r="N213" s="399">
        <v>0.48899999999999999</v>
      </c>
      <c r="O213" s="399">
        <v>0.48899999999999999</v>
      </c>
      <c r="P213" s="399">
        <v>0.48899999999999999</v>
      </c>
      <c r="Q213" s="399">
        <v>0.48899999999999999</v>
      </c>
      <c r="R213" s="399"/>
      <c r="S213" s="399">
        <v>325.25</v>
      </c>
      <c r="T213" s="399">
        <v>297.72000000000003</v>
      </c>
      <c r="U213" s="399"/>
      <c r="V213" s="399">
        <v>304.63233000000002</v>
      </c>
      <c r="W213" s="399">
        <v>304.63233000000002</v>
      </c>
      <c r="X213" s="399">
        <v>260.48052000000001</v>
      </c>
      <c r="Y213" s="399">
        <v>0</v>
      </c>
      <c r="Z213" s="399">
        <v>0</v>
      </c>
      <c r="AA213" s="399">
        <v>0</v>
      </c>
      <c r="AB213" s="399">
        <v>0</v>
      </c>
      <c r="AC213" s="399">
        <v>0</v>
      </c>
      <c r="AD213" s="399">
        <v>48.605379053301746</v>
      </c>
      <c r="AE213" s="399">
        <v>97.870810624323724</v>
      </c>
      <c r="AF213" s="399">
        <v>145.586966061353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0</v>
      </c>
      <c r="AM213" s="399"/>
      <c r="AN213" s="399">
        <v>0.43539921189859754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12.133949931257018</v>
      </c>
      <c r="BH213" s="399">
        <v>0</v>
      </c>
      <c r="BI213" s="399">
        <v>0</v>
      </c>
      <c r="BJ213" s="399">
        <v>0</v>
      </c>
      <c r="BK213" s="399">
        <v>20.68</v>
      </c>
      <c r="BL213" s="399">
        <v>2</v>
      </c>
      <c r="BM213" s="399"/>
      <c r="BN213" s="399"/>
      <c r="BO213" s="399"/>
      <c r="BP213" s="399"/>
      <c r="BQ213" s="399"/>
      <c r="BR213" s="399"/>
      <c r="BS213" s="399"/>
      <c r="BT213" s="399">
        <v>104.19122999999999</v>
      </c>
      <c r="BU213" s="399"/>
      <c r="BV213" s="399">
        <v>157.72091599261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156.60890000000001</v>
      </c>
      <c r="CJ213" s="399">
        <v>-26.199520000000007</v>
      </c>
      <c r="CK213" s="399"/>
      <c r="CL213" s="399"/>
      <c r="CM213" s="399"/>
      <c r="CN213" s="399"/>
      <c r="CO213" s="399">
        <v>-50.401229999999998</v>
      </c>
      <c r="CP213" s="399">
        <v>6.2494199999999864</v>
      </c>
      <c r="CQ213" s="399">
        <v>31</v>
      </c>
      <c r="CR213" s="399">
        <v>6.4451859707450865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-0.37457972605674428</v>
      </c>
      <c r="DA213" s="399">
        <v>0</v>
      </c>
      <c r="DB213" s="399">
        <v>0</v>
      </c>
      <c r="DC213" s="399">
        <v>6.2471924990850596</v>
      </c>
      <c r="DD213" s="399">
        <v>0</v>
      </c>
      <c r="DE213" s="399">
        <v>0</v>
      </c>
      <c r="DF213" s="399">
        <v>0</v>
      </c>
      <c r="DG213" s="399">
        <v>0.5206724409853738</v>
      </c>
      <c r="DH213" s="399">
        <v>0</v>
      </c>
      <c r="DI213" s="399">
        <v>0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0</v>
      </c>
      <c r="DP213" s="399">
        <v>5.1900756731410369E-2</v>
      </c>
      <c r="DQ213" s="399">
        <v>0</v>
      </c>
      <c r="DR213" s="399">
        <v>0</v>
      </c>
      <c r="DS213" s="399"/>
      <c r="DT213" s="399"/>
      <c r="DU213" s="399"/>
      <c r="DV213" s="399">
        <v>97.870810624323724</v>
      </c>
      <c r="DW213" s="399">
        <v>0</v>
      </c>
      <c r="DX213" s="399">
        <v>0</v>
      </c>
      <c r="DY213" s="399">
        <v>-50.401229999999984</v>
      </c>
      <c r="DZ213" s="399">
        <v>6.2494199999999864</v>
      </c>
      <c r="EA213" s="399">
        <v>0</v>
      </c>
      <c r="EB213" s="399">
        <v>0</v>
      </c>
      <c r="EC213" s="399">
        <v>-50.597842105946818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232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215</v>
      </c>
      <c r="B214" s="399" t="s">
        <v>956</v>
      </c>
      <c r="C214" s="399" t="s">
        <v>2328</v>
      </c>
      <c r="D214" s="399" t="s">
        <v>1821</v>
      </c>
      <c r="E214" s="399" t="s">
        <v>889</v>
      </c>
      <c r="F214" s="399" t="s">
        <v>2333</v>
      </c>
      <c r="G214" s="399" t="s">
        <v>1239</v>
      </c>
      <c r="H214" s="399" t="s">
        <v>1239</v>
      </c>
      <c r="I214" s="399" t="s">
        <v>1239</v>
      </c>
      <c r="J214" s="399" t="s">
        <v>2326</v>
      </c>
      <c r="K214" s="788">
        <v>44743</v>
      </c>
      <c r="L214" s="399">
        <v>0</v>
      </c>
      <c r="M214" s="399">
        <v>0</v>
      </c>
      <c r="N214" s="399">
        <v>0.7</v>
      </c>
      <c r="O214" s="399">
        <v>0.7</v>
      </c>
      <c r="P214" s="399">
        <v>0.7</v>
      </c>
      <c r="Q214" s="399">
        <v>0.7</v>
      </c>
      <c r="R214" s="399"/>
      <c r="S214" s="399">
        <v>325.25</v>
      </c>
      <c r="T214" s="399">
        <v>297.72000000000003</v>
      </c>
      <c r="U214" s="399"/>
      <c r="V214" s="399">
        <v>436.07899999999995</v>
      </c>
      <c r="W214" s="399">
        <v>436.07899999999995</v>
      </c>
      <c r="X214" s="399">
        <v>372.87599999999998</v>
      </c>
      <c r="Y214" s="399">
        <v>0</v>
      </c>
      <c r="Z214" s="399">
        <v>0</v>
      </c>
      <c r="AA214" s="399">
        <v>0</v>
      </c>
      <c r="AB214" s="399">
        <v>0</v>
      </c>
      <c r="AC214" s="399">
        <v>0</v>
      </c>
      <c r="AD214" s="399">
        <v>69.578252223540332</v>
      </c>
      <c r="AE214" s="399">
        <v>140.1013649018949</v>
      </c>
      <c r="AF214" s="399">
        <v>208.40669988332738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0</v>
      </c>
      <c r="AM214" s="399"/>
      <c r="AN214" s="399">
        <v>0.62327085547856498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17.369662478282031</v>
      </c>
      <c r="BH214" s="399">
        <v>0</v>
      </c>
      <c r="BI214" s="399">
        <v>0</v>
      </c>
      <c r="BJ214" s="399">
        <v>0</v>
      </c>
      <c r="BK214" s="399">
        <v>57.07</v>
      </c>
      <c r="BL214" s="399">
        <v>2</v>
      </c>
      <c r="BM214" s="399"/>
      <c r="BN214" s="399"/>
      <c r="BO214" s="399"/>
      <c r="BP214" s="399"/>
      <c r="BQ214" s="399"/>
      <c r="BR214" s="399"/>
      <c r="BS214" s="399"/>
      <c r="BT214" s="399">
        <v>37.289000000000001</v>
      </c>
      <c r="BU214" s="399"/>
      <c r="BV214" s="399">
        <v>225.77636236160942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335.58699999999999</v>
      </c>
      <c r="CJ214" s="399">
        <v>-56.911999999999921</v>
      </c>
      <c r="CK214" s="399"/>
      <c r="CL214" s="399"/>
      <c r="CM214" s="399"/>
      <c r="CN214" s="399"/>
      <c r="CO214" s="399">
        <v>-72.148999999999987</v>
      </c>
      <c r="CP214" s="399">
        <v>8.9459999999999802</v>
      </c>
      <c r="CQ214" s="399">
        <v>31</v>
      </c>
      <c r="CR214" s="399">
        <v>9.2262375859336885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-0.53620819680924114</v>
      </c>
      <c r="DA214" s="399">
        <v>0</v>
      </c>
      <c r="DB214" s="399">
        <v>0</v>
      </c>
      <c r="DC214" s="399">
        <v>8.9428113483835148</v>
      </c>
      <c r="DD214" s="399">
        <v>0</v>
      </c>
      <c r="DE214" s="399">
        <v>0</v>
      </c>
      <c r="DF214" s="399">
        <v>0</v>
      </c>
      <c r="DG214" s="399">
        <v>0.74533887257619824</v>
      </c>
      <c r="DH214" s="399">
        <v>0</v>
      </c>
      <c r="DI214" s="399">
        <v>0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0</v>
      </c>
      <c r="DP214" s="399">
        <v>7.4295561783204955E-2</v>
      </c>
      <c r="DQ214" s="399">
        <v>0</v>
      </c>
      <c r="DR214" s="399">
        <v>0</v>
      </c>
      <c r="DS214" s="399"/>
      <c r="DT214" s="399"/>
      <c r="DU214" s="399"/>
      <c r="DV214" s="399">
        <v>140.1013649018949</v>
      </c>
      <c r="DW214" s="399">
        <v>0</v>
      </c>
      <c r="DX214" s="399">
        <v>0</v>
      </c>
      <c r="DY214" s="399">
        <v>-72.149000000000001</v>
      </c>
      <c r="DZ214" s="399">
        <v>8.945999999999998</v>
      </c>
      <c r="EA214" s="399">
        <v>0</v>
      </c>
      <c r="EB214" s="399">
        <v>0</v>
      </c>
      <c r="EC214" s="399">
        <v>-72.430448822418754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232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216</v>
      </c>
      <c r="B215" s="399" t="s">
        <v>956</v>
      </c>
      <c r="C215" s="399" t="s">
        <v>2328</v>
      </c>
      <c r="D215" s="399" t="s">
        <v>1821</v>
      </c>
      <c r="E215" s="399" t="s">
        <v>889</v>
      </c>
      <c r="F215" s="399" t="s">
        <v>2334</v>
      </c>
      <c r="G215" s="399" t="s">
        <v>1239</v>
      </c>
      <c r="H215" s="399" t="s">
        <v>1239</v>
      </c>
      <c r="I215" s="399" t="s">
        <v>1239</v>
      </c>
      <c r="J215" s="399" t="s">
        <v>2326</v>
      </c>
      <c r="K215" s="788">
        <v>44743</v>
      </c>
      <c r="L215" s="399">
        <v>0</v>
      </c>
      <c r="M215" s="399">
        <v>0</v>
      </c>
      <c r="N215" s="399">
        <v>0.21</v>
      </c>
      <c r="O215" s="399">
        <v>0.21</v>
      </c>
      <c r="P215" s="399">
        <v>0.21</v>
      </c>
      <c r="Q215" s="399">
        <v>0.21</v>
      </c>
      <c r="R215" s="399"/>
      <c r="S215" s="399">
        <v>325.25</v>
      </c>
      <c r="T215" s="399">
        <v>297.72000000000003</v>
      </c>
      <c r="U215" s="399"/>
      <c r="V215" s="399">
        <v>130.8237</v>
      </c>
      <c r="W215" s="399">
        <v>130.8237</v>
      </c>
      <c r="X215" s="399">
        <v>111.86279999999999</v>
      </c>
      <c r="Y215" s="399">
        <v>0</v>
      </c>
      <c r="Z215" s="399">
        <v>0</v>
      </c>
      <c r="AA215" s="399">
        <v>0</v>
      </c>
      <c r="AB215" s="399">
        <v>0</v>
      </c>
      <c r="AC215" s="399">
        <v>0</v>
      </c>
      <c r="AD215" s="399">
        <v>20.873475667062099</v>
      </c>
      <c r="AE215" s="399">
        <v>42.030409470568472</v>
      </c>
      <c r="AF215" s="399">
        <v>62.522009964998219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0</v>
      </c>
      <c r="AM215" s="399"/>
      <c r="AN215" s="399">
        <v>0.18698125664356949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5.2108987434846092</v>
      </c>
      <c r="BH215" s="399">
        <v>0</v>
      </c>
      <c r="BI215" s="399">
        <v>0</v>
      </c>
      <c r="BJ215" s="399">
        <v>0</v>
      </c>
      <c r="BK215" s="399">
        <v>22.19</v>
      </c>
      <c r="BL215" s="399">
        <v>4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67.732908708482825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111.86279999999999</v>
      </c>
      <c r="CJ215" s="399">
        <v>-18.990900000000011</v>
      </c>
      <c r="CK215" s="399"/>
      <c r="CL215" s="399"/>
      <c r="CM215" s="399"/>
      <c r="CN215" s="399"/>
      <c r="CO215" s="399">
        <v>-21.644699999999997</v>
      </c>
      <c r="CP215" s="399">
        <v>2.683799999999994</v>
      </c>
      <c r="CQ215" s="399">
        <v>31</v>
      </c>
      <c r="CR215" s="399">
        <v>2.7678712757801094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-0.16086245904277163</v>
      </c>
      <c r="DA215" s="399">
        <v>0</v>
      </c>
      <c r="DB215" s="399">
        <v>0</v>
      </c>
      <c r="DC215" s="399">
        <v>2.6828434045150544</v>
      </c>
      <c r="DD215" s="399">
        <v>0</v>
      </c>
      <c r="DE215" s="399">
        <v>0</v>
      </c>
      <c r="DF215" s="399">
        <v>0</v>
      </c>
      <c r="DG215" s="399">
        <v>0.22360166177286001</v>
      </c>
      <c r="DH215" s="399">
        <v>0</v>
      </c>
      <c r="DI215" s="399">
        <v>0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0</v>
      </c>
      <c r="DP215" s="399">
        <v>2.2288668534961503E-2</v>
      </c>
      <c r="DQ215" s="399">
        <v>0</v>
      </c>
      <c r="DR215" s="399">
        <v>0</v>
      </c>
      <c r="DS215" s="399"/>
      <c r="DT215" s="399"/>
      <c r="DU215" s="399"/>
      <c r="DV215" s="399">
        <v>42.030409470568472</v>
      </c>
      <c r="DW215" s="399">
        <v>0</v>
      </c>
      <c r="DX215" s="399">
        <v>0</v>
      </c>
      <c r="DY215" s="399">
        <v>-21.644699999999993</v>
      </c>
      <c r="DZ215" s="399">
        <v>2.683799999999998</v>
      </c>
      <c r="EA215" s="399">
        <v>0</v>
      </c>
      <c r="EB215" s="399">
        <v>0</v>
      </c>
      <c r="EC215" s="399">
        <v>-21.72913464672563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232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217</v>
      </c>
      <c r="B216" s="399" t="s">
        <v>956</v>
      </c>
      <c r="C216" s="399" t="s">
        <v>2328</v>
      </c>
      <c r="D216" s="399" t="s">
        <v>1824</v>
      </c>
      <c r="E216" s="399" t="s">
        <v>890</v>
      </c>
      <c r="F216" s="399" t="s">
        <v>1239</v>
      </c>
      <c r="G216" s="399" t="s">
        <v>1239</v>
      </c>
      <c r="H216" s="399" t="s">
        <v>1239</v>
      </c>
      <c r="I216" s="399" t="s">
        <v>1239</v>
      </c>
      <c r="J216" s="399" t="s">
        <v>2326</v>
      </c>
      <c r="K216" s="788">
        <v>44743</v>
      </c>
      <c r="L216" s="399">
        <v>0</v>
      </c>
      <c r="M216" s="399">
        <v>0</v>
      </c>
      <c r="N216" s="399">
        <v>1.5209999999999999</v>
      </c>
      <c r="O216" s="399">
        <v>1.5209999999999999</v>
      </c>
      <c r="P216" s="399">
        <v>1.5209999999999999</v>
      </c>
      <c r="Q216" s="399">
        <v>1.5209999999999999</v>
      </c>
      <c r="R216" s="399"/>
      <c r="S216" s="399">
        <v>395.23</v>
      </c>
      <c r="T216" s="399">
        <v>297.72000000000003</v>
      </c>
      <c r="U216" s="399"/>
      <c r="V216" s="399">
        <v>1053.97695</v>
      </c>
      <c r="W216" s="399">
        <v>1053.97695</v>
      </c>
      <c r="X216" s="399">
        <v>934.12214999999992</v>
      </c>
      <c r="Y216" s="399">
        <v>0</v>
      </c>
      <c r="Z216" s="399">
        <v>92.190271465550154</v>
      </c>
      <c r="AA216" s="399">
        <v>0</v>
      </c>
      <c r="AB216" s="399">
        <v>0</v>
      </c>
      <c r="AC216" s="399">
        <v>0</v>
      </c>
      <c r="AD216" s="399">
        <v>151.18360233143551</v>
      </c>
      <c r="AE216" s="399">
        <v>304.42025145111734</v>
      </c>
      <c r="AF216" s="399">
        <v>452.83798646077275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14.253119743339132</v>
      </c>
      <c r="AM216" s="399"/>
      <c r="AN216" s="399">
        <v>1.3542785302612819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37.741795184952814</v>
      </c>
      <c r="BH216" s="399">
        <v>0</v>
      </c>
      <c r="BI216" s="399">
        <v>0</v>
      </c>
      <c r="BJ216" s="399">
        <v>0</v>
      </c>
      <c r="BK216" s="399">
        <v>185.4</v>
      </c>
      <c r="BL216" s="399">
        <v>2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490.57978164572557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933.50799999999992</v>
      </c>
      <c r="CJ216" s="399">
        <v>-120.49895000000004</v>
      </c>
      <c r="CK216" s="399"/>
      <c r="CL216" s="399"/>
      <c r="CM216" s="399"/>
      <c r="CN216" s="399"/>
      <c r="CO216" s="399">
        <v>-139.29318000000006</v>
      </c>
      <c r="CP216" s="399">
        <v>19.438379999999956</v>
      </c>
      <c r="CQ216" s="399">
        <v>31</v>
      </c>
      <c r="CR216" s="399">
        <v>37.513902292587545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-1.1651038104955376</v>
      </c>
      <c r="DA216" s="399">
        <v>0</v>
      </c>
      <c r="DB216" s="399">
        <v>0</v>
      </c>
      <c r="DC216" s="399">
        <v>19.431451515559047</v>
      </c>
      <c r="DD216" s="399">
        <v>0</v>
      </c>
      <c r="DE216" s="399">
        <v>0</v>
      </c>
      <c r="DF216" s="399">
        <v>0</v>
      </c>
      <c r="DG216" s="399">
        <v>1.6195148931262793</v>
      </c>
      <c r="DH216" s="399">
        <v>0</v>
      </c>
      <c r="DI216" s="399">
        <v>15.390879809680484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2.0757262426139977</v>
      </c>
      <c r="DP216" s="399">
        <v>0.1614336421032212</v>
      </c>
      <c r="DQ216" s="399">
        <v>0</v>
      </c>
      <c r="DR216" s="399">
        <v>0</v>
      </c>
      <c r="DS216" s="399"/>
      <c r="DT216" s="399"/>
      <c r="DU216" s="399"/>
      <c r="DV216" s="399">
        <v>304.42025145111734</v>
      </c>
      <c r="DW216" s="399">
        <v>0</v>
      </c>
      <c r="DX216" s="399">
        <v>0</v>
      </c>
      <c r="DY216" s="399">
        <v>-139.29318000000001</v>
      </c>
      <c r="DZ216" s="399">
        <v>19.438379999999938</v>
      </c>
      <c r="EA216" s="399">
        <v>0</v>
      </c>
      <c r="EB216" s="399">
        <v>0</v>
      </c>
      <c r="EC216" s="399">
        <v>-157.38101808414132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232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218</v>
      </c>
      <c r="B217" s="399" t="s">
        <v>956</v>
      </c>
      <c r="C217" s="399" t="s">
        <v>2343</v>
      </c>
      <c r="D217" s="399" t="s">
        <v>533</v>
      </c>
      <c r="E217" s="399" t="s">
        <v>890</v>
      </c>
      <c r="F217" s="399" t="s">
        <v>1239</v>
      </c>
      <c r="G217" s="399" t="s">
        <v>1239</v>
      </c>
      <c r="H217" s="399" t="s">
        <v>1239</v>
      </c>
      <c r="I217" s="399" t="s">
        <v>893</v>
      </c>
      <c r="J217" s="399" t="s">
        <v>2326</v>
      </c>
      <c r="K217" s="788">
        <v>44743</v>
      </c>
      <c r="L217" s="399">
        <v>715</v>
      </c>
      <c r="M217" s="399">
        <v>715</v>
      </c>
      <c r="N217" s="399">
        <v>30.140999999999998</v>
      </c>
      <c r="O217" s="399">
        <v>30.140999999999998</v>
      </c>
      <c r="P217" s="399">
        <v>30.140999999999998</v>
      </c>
      <c r="Q217" s="399">
        <v>30.140999999999998</v>
      </c>
      <c r="R217" s="399">
        <v>78.569999999999993</v>
      </c>
      <c r="S217" s="399">
        <v>72.290000000000006</v>
      </c>
      <c r="T217" s="399">
        <v>297.72000000000003</v>
      </c>
      <c r="U217" s="399">
        <v>56177.549999999996</v>
      </c>
      <c r="V217" s="399">
        <v>11152.471410000002</v>
      </c>
      <c r="W217" s="399">
        <v>67330.021410000001</v>
      </c>
      <c r="X217" s="399">
        <v>50096.875039999999</v>
      </c>
      <c r="Y217" s="399">
        <v>0</v>
      </c>
      <c r="Z217" s="399">
        <v>1589.3984653856282</v>
      </c>
      <c r="AA217" s="399">
        <v>0</v>
      </c>
      <c r="AB217" s="399">
        <v>0</v>
      </c>
      <c r="AC217" s="399">
        <v>0</v>
      </c>
      <c r="AD217" s="399">
        <v>21794.517656357159</v>
      </c>
      <c r="AE217" s="399">
        <v>34384.966773572196</v>
      </c>
      <c r="AF217" s="399">
        <v>8973.6947731191012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282.44791728072636</v>
      </c>
      <c r="AM217" s="399"/>
      <c r="AN217" s="399">
        <v>18.173630598217247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288.76442368454894</v>
      </c>
      <c r="BH217" s="399">
        <v>0</v>
      </c>
      <c r="BI217" s="399">
        <v>0</v>
      </c>
      <c r="BJ217" s="399">
        <v>0</v>
      </c>
      <c r="BK217" s="399">
        <v>0</v>
      </c>
      <c r="BL217" s="399">
        <v>0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9262.4591968036493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50096.481599999999</v>
      </c>
      <c r="CJ217" s="399">
        <v>-17233.569810000001</v>
      </c>
      <c r="CK217" s="399"/>
      <c r="CL217" s="399"/>
      <c r="CM217" s="399"/>
      <c r="CN217" s="399"/>
      <c r="CO217" s="399">
        <v>-17618.34835</v>
      </c>
      <c r="CP217" s="399">
        <v>385.20197999999914</v>
      </c>
      <c r="CQ217" s="399">
        <v>31</v>
      </c>
      <c r="CR217" s="399">
        <v>538.1404180012978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-167.96051408843778</v>
      </c>
      <c r="DA217" s="399">
        <v>0</v>
      </c>
      <c r="DB217" s="399">
        <v>0</v>
      </c>
      <c r="DC217" s="399">
        <v>385.06468121661055</v>
      </c>
      <c r="DD217" s="399">
        <v>0</v>
      </c>
      <c r="DE217" s="399">
        <v>0</v>
      </c>
      <c r="DF217" s="399">
        <v>0</v>
      </c>
      <c r="DG217" s="399">
        <v>12.390992067823049</v>
      </c>
      <c r="DH217" s="399">
        <v>0</v>
      </c>
      <c r="DI217" s="399">
        <v>265.34514283951989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41.133770334404005</v>
      </c>
      <c r="DP217" s="399">
        <v>2.1663456313840399</v>
      </c>
      <c r="DQ217" s="399">
        <v>0</v>
      </c>
      <c r="DR217" s="399">
        <v>0</v>
      </c>
      <c r="DS217" s="399"/>
      <c r="DT217" s="399"/>
      <c r="DU217" s="399">
        <v>34384.966773572196</v>
      </c>
      <c r="DV217" s="399">
        <v>0</v>
      </c>
      <c r="DW217" s="399">
        <v>0</v>
      </c>
      <c r="DX217" s="399">
        <v>0</v>
      </c>
      <c r="DY217" s="399">
        <v>-17618.34835</v>
      </c>
      <c r="DZ217" s="399">
        <v>385.201979999998</v>
      </c>
      <c r="EA217" s="399">
        <v>0</v>
      </c>
      <c r="EB217" s="399">
        <v>0</v>
      </c>
      <c r="EC217" s="399">
        <v>-17776.547558246544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232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219</v>
      </c>
      <c r="B218" s="399" t="s">
        <v>956</v>
      </c>
      <c r="C218" s="399" t="s">
        <v>2343</v>
      </c>
      <c r="D218" s="399" t="s">
        <v>533</v>
      </c>
      <c r="E218" s="399" t="s">
        <v>890</v>
      </c>
      <c r="F218" s="399" t="s">
        <v>1239</v>
      </c>
      <c r="G218" s="399" t="s">
        <v>1239</v>
      </c>
      <c r="H218" s="399" t="s">
        <v>1239</v>
      </c>
      <c r="I218" s="399" t="s">
        <v>2323</v>
      </c>
      <c r="J218" s="399" t="s">
        <v>2326</v>
      </c>
      <c r="K218" s="788">
        <v>44743</v>
      </c>
      <c r="L218" s="399">
        <v>715</v>
      </c>
      <c r="M218" s="399">
        <v>715</v>
      </c>
      <c r="N218" s="399">
        <v>219.958</v>
      </c>
      <c r="O218" s="399">
        <v>219.958</v>
      </c>
      <c r="P218" s="399">
        <v>219.958</v>
      </c>
      <c r="Q218" s="399">
        <v>219.958</v>
      </c>
      <c r="R218" s="399">
        <v>25.76</v>
      </c>
      <c r="S218" s="399">
        <v>72.290000000000006</v>
      </c>
      <c r="T218" s="399">
        <v>297.72000000000003</v>
      </c>
      <c r="U218" s="399">
        <v>18418.400000000001</v>
      </c>
      <c r="V218" s="399">
        <v>81386.659580000007</v>
      </c>
      <c r="W218" s="399">
        <v>99805.059580000001</v>
      </c>
      <c r="X218" s="399">
        <v>99925.075519999999</v>
      </c>
      <c r="Y218" s="399">
        <v>0</v>
      </c>
      <c r="Z218" s="399">
        <v>11598.848998019044</v>
      </c>
      <c r="AA218" s="399">
        <v>0</v>
      </c>
      <c r="AB218" s="399">
        <v>0</v>
      </c>
      <c r="AC218" s="399">
        <v>0</v>
      </c>
      <c r="AD218" s="399">
        <v>8809.0697848288128</v>
      </c>
      <c r="AE218" s="399">
        <v>9608.3573567757503</v>
      </c>
      <c r="AF218" s="399">
        <v>65486.744132767039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2061.2016518773103</v>
      </c>
      <c r="AM218" s="399"/>
      <c r="AN218" s="399">
        <v>132.62451276077999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2107.2972066224088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67594.041339389441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99925.862399999998</v>
      </c>
      <c r="CJ218" s="399">
        <v>120.77281999998377</v>
      </c>
      <c r="CK218" s="399"/>
      <c r="CL218" s="399"/>
      <c r="CM218" s="399"/>
      <c r="CN218" s="399"/>
      <c r="CO218" s="399">
        <v>-2691.0473000000043</v>
      </c>
      <c r="CP218" s="399">
        <v>2811.063239999994</v>
      </c>
      <c r="CQ218" s="399">
        <v>31</v>
      </c>
      <c r="CR218" s="399">
        <v>5084.9789619328803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-67.88752625912457</v>
      </c>
      <c r="DA218" s="399">
        <v>0</v>
      </c>
      <c r="DB218" s="399">
        <v>0</v>
      </c>
      <c r="DC218" s="399">
        <v>2810.0612836681976</v>
      </c>
      <c r="DD218" s="399">
        <v>0</v>
      </c>
      <c r="DE218" s="399">
        <v>0</v>
      </c>
      <c r="DF218" s="399">
        <v>0</v>
      </c>
      <c r="DG218" s="399">
        <v>90.424930601314372</v>
      </c>
      <c r="DH218" s="399">
        <v>0</v>
      </c>
      <c r="DI218" s="399">
        <v>1936.3918559004396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300.17921950880327</v>
      </c>
      <c r="DP218" s="399">
        <v>15.809198513253392</v>
      </c>
      <c r="DQ218" s="399">
        <v>0</v>
      </c>
      <c r="DR218" s="399">
        <v>0</v>
      </c>
      <c r="DS218" s="399"/>
      <c r="DT218" s="399"/>
      <c r="DU218" s="399">
        <v>9608.3573567757503</v>
      </c>
      <c r="DV218" s="399">
        <v>0</v>
      </c>
      <c r="DW218" s="399">
        <v>0</v>
      </c>
      <c r="DX218" s="399">
        <v>0</v>
      </c>
      <c r="DY218" s="399">
        <v>-2691.047300000002</v>
      </c>
      <c r="DZ218" s="399">
        <v>2811.0632399999959</v>
      </c>
      <c r="EA218" s="399">
        <v>0</v>
      </c>
      <c r="EB218" s="399">
        <v>0</v>
      </c>
      <c r="EC218" s="399">
        <v>-4967.3865510502392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232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220</v>
      </c>
      <c r="B219" s="399" t="s">
        <v>956</v>
      </c>
      <c r="C219" s="399" t="s">
        <v>2343</v>
      </c>
      <c r="D219" s="399" t="s">
        <v>533</v>
      </c>
      <c r="E219" s="399" t="s">
        <v>890</v>
      </c>
      <c r="F219" s="399" t="s">
        <v>1239</v>
      </c>
      <c r="G219" s="399" t="s">
        <v>1239</v>
      </c>
      <c r="H219" s="399" t="s">
        <v>1239</v>
      </c>
      <c r="I219" s="399" t="s">
        <v>1239</v>
      </c>
      <c r="J219" s="399" t="s">
        <v>2326</v>
      </c>
      <c r="K219" s="788">
        <v>44743</v>
      </c>
      <c r="L219" s="399">
        <v>0</v>
      </c>
      <c r="M219" s="399">
        <v>0</v>
      </c>
      <c r="N219" s="399">
        <v>0</v>
      </c>
      <c r="O219" s="399">
        <v>0</v>
      </c>
      <c r="P219" s="399">
        <v>0</v>
      </c>
      <c r="Q219" s="399">
        <v>0</v>
      </c>
      <c r="R219" s="399"/>
      <c r="S219" s="399"/>
      <c r="T219" s="399"/>
      <c r="U219" s="399"/>
      <c r="V219" s="399"/>
      <c r="W219" s="399"/>
      <c r="X219" s="399"/>
      <c r="Y219" s="399"/>
      <c r="Z219" s="399"/>
      <c r="AA219" s="399">
        <v>0</v>
      </c>
      <c r="AB219" s="399"/>
      <c r="AC219" s="399"/>
      <c r="AD219" s="399"/>
      <c r="AE219" s="399"/>
      <c r="AF219" s="399"/>
      <c r="AG219" s="399"/>
      <c r="AH219" s="399"/>
      <c r="AI219" s="399"/>
      <c r="AJ219" s="399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>
        <v>0</v>
      </c>
      <c r="BA219" s="399"/>
      <c r="BB219" s="399"/>
      <c r="BC219" s="399"/>
      <c r="BD219" s="399"/>
      <c r="BE219" s="399"/>
      <c r="BF219" s="399"/>
      <c r="BG219" s="399"/>
      <c r="BH219" s="399"/>
      <c r="BI219" s="399">
        <v>0</v>
      </c>
      <c r="BJ219" s="399">
        <v>0</v>
      </c>
      <c r="BK219" s="399">
        <v>29039.37</v>
      </c>
      <c r="BL219" s="399">
        <v>1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/>
      <c r="CJ219" s="399">
        <v>-0.03</v>
      </c>
      <c r="CK219" s="399"/>
      <c r="CL219" s="399"/>
      <c r="CM219" s="399"/>
      <c r="CN219" s="399"/>
      <c r="CO219" s="399">
        <v>0</v>
      </c>
      <c r="CP219" s="399">
        <v>0</v>
      </c>
      <c r="CQ219" s="399">
        <v>31</v>
      </c>
      <c r="CR219" s="399"/>
      <c r="CS219" s="399"/>
      <c r="CT219" s="399"/>
      <c r="CU219" s="399"/>
      <c r="CV219" s="399"/>
      <c r="CW219" s="399"/>
      <c r="CX219" s="399"/>
      <c r="CY219" s="399"/>
      <c r="CZ219" s="399"/>
      <c r="DA219" s="399"/>
      <c r="DB219" s="399"/>
      <c r="DC219" s="399"/>
      <c r="DD219" s="399"/>
      <c r="DE219" s="399"/>
      <c r="DF219" s="399"/>
      <c r="DG219" s="399"/>
      <c r="DH219" s="399"/>
      <c r="DI219" s="399"/>
      <c r="DJ219" s="399"/>
      <c r="DK219" s="399">
        <v>0</v>
      </c>
      <c r="DL219" s="399"/>
      <c r="DM219" s="399"/>
      <c r="DN219" s="399"/>
      <c r="DO219" s="399"/>
      <c r="DP219" s="399"/>
      <c r="DQ219" s="399"/>
      <c r="DR219" s="399"/>
      <c r="DS219" s="399"/>
      <c r="DT219" s="399"/>
      <c r="DU219" s="399"/>
      <c r="DV219" s="399"/>
      <c r="DW219" s="399"/>
      <c r="DX219" s="399"/>
      <c r="DY219" s="399"/>
      <c r="DZ219" s="399"/>
      <c r="EA219" s="399"/>
      <c r="EB219" s="399"/>
      <c r="EC219" s="399"/>
      <c r="ED219" s="399"/>
      <c r="EE219" s="399"/>
      <c r="EF219" s="399"/>
      <c r="EG219" s="399"/>
      <c r="EH219" s="399"/>
      <c r="EI219" s="399"/>
      <c r="EJ219" s="399"/>
      <c r="EK219" s="399"/>
      <c r="EL219" s="399"/>
      <c r="EM219" s="399"/>
      <c r="EN219" s="399"/>
      <c r="EO219" s="399"/>
      <c r="EP219" s="399"/>
      <c r="EQ219" s="399"/>
      <c r="ER219" s="399"/>
      <c r="ES219" s="399"/>
      <c r="ET219" s="399"/>
      <c r="EU219" s="399"/>
      <c r="EV219" s="399">
        <v>232</v>
      </c>
      <c r="EW219" s="399"/>
      <c r="EX219" s="399"/>
      <c r="EY219" s="399"/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221</v>
      </c>
      <c r="B220" s="399" t="s">
        <v>956</v>
      </c>
      <c r="C220" s="399" t="s">
        <v>2325</v>
      </c>
      <c r="D220" s="399" t="s">
        <v>533</v>
      </c>
      <c r="E220" s="399" t="s">
        <v>890</v>
      </c>
      <c r="F220" s="399" t="s">
        <v>1239</v>
      </c>
      <c r="G220" s="399" t="s">
        <v>1239</v>
      </c>
      <c r="H220" s="399" t="s">
        <v>1239</v>
      </c>
      <c r="I220" s="399" t="s">
        <v>893</v>
      </c>
      <c r="J220" s="399" t="s">
        <v>2326</v>
      </c>
      <c r="K220" s="788">
        <v>44743</v>
      </c>
      <c r="L220" s="399">
        <v>0</v>
      </c>
      <c r="M220" s="399">
        <v>0</v>
      </c>
      <c r="N220" s="399">
        <v>48.082000000000001</v>
      </c>
      <c r="O220" s="399">
        <v>48.082000000000001</v>
      </c>
      <c r="P220" s="399">
        <v>48.082000000000001</v>
      </c>
      <c r="Q220" s="399">
        <v>48.082000000000001</v>
      </c>
      <c r="R220" s="399"/>
      <c r="S220" s="399">
        <v>1962.25</v>
      </c>
      <c r="T220" s="399">
        <v>297.72000000000003</v>
      </c>
      <c r="U220" s="399"/>
      <c r="V220" s="399">
        <v>108663.87754</v>
      </c>
      <c r="W220" s="399">
        <v>108663.87754</v>
      </c>
      <c r="X220" s="399">
        <v>80768.624419999993</v>
      </c>
      <c r="Y220" s="399">
        <v>0</v>
      </c>
      <c r="Z220" s="399">
        <v>2535.465213916983</v>
      </c>
      <c r="AA220" s="399">
        <v>0</v>
      </c>
      <c r="AB220" s="399">
        <v>0</v>
      </c>
      <c r="AC220" s="399">
        <v>0</v>
      </c>
      <c r="AD220" s="399">
        <v>35262.446865403195</v>
      </c>
      <c r="AE220" s="399">
        <v>55610.992245234338</v>
      </c>
      <c r="AF220" s="399">
        <v>14315.158491128783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450.57100821777266</v>
      </c>
      <c r="AM220" s="399"/>
      <c r="AN220" s="399">
        <v>28.991224790932012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460.64732489301895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14775.805816021802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80765.26479999999</v>
      </c>
      <c r="CJ220" s="399">
        <v>-27898.642739999996</v>
      </c>
      <c r="CK220" s="399"/>
      <c r="CL220" s="399"/>
      <c r="CM220" s="399"/>
      <c r="CN220" s="399"/>
      <c r="CO220" s="399">
        <v>-28509.741080000003</v>
      </c>
      <c r="CP220" s="399">
        <v>614.48795999999868</v>
      </c>
      <c r="CQ220" s="399">
        <v>31</v>
      </c>
      <c r="CR220" s="399">
        <v>854.64566472984734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-271.75176789478428</v>
      </c>
      <c r="DA220" s="399">
        <v>0</v>
      </c>
      <c r="DB220" s="399">
        <v>0</v>
      </c>
      <c r="DC220" s="399">
        <v>614.26893607567945</v>
      </c>
      <c r="DD220" s="399">
        <v>0</v>
      </c>
      <c r="DE220" s="399">
        <v>0</v>
      </c>
      <c r="DF220" s="399">
        <v>0</v>
      </c>
      <c r="DG220" s="399">
        <v>19.76655322003478</v>
      </c>
      <c r="DH220" s="399">
        <v>0</v>
      </c>
      <c r="DI220" s="399">
        <v>423.28805142529427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65.618059958820652</v>
      </c>
      <c r="DP220" s="399">
        <v>3.4558319447996872</v>
      </c>
      <c r="DQ220" s="399">
        <v>0</v>
      </c>
      <c r="DR220" s="399">
        <v>0</v>
      </c>
      <c r="DS220" s="399"/>
      <c r="DT220" s="399"/>
      <c r="DU220" s="399"/>
      <c r="DV220" s="399">
        <v>55610.992245234338</v>
      </c>
      <c r="DW220" s="399">
        <v>0</v>
      </c>
      <c r="DX220" s="399">
        <v>0</v>
      </c>
      <c r="DY220" s="399">
        <v>-28509.741080000007</v>
      </c>
      <c r="DZ220" s="399">
        <v>614.48795999999857</v>
      </c>
      <c r="EA220" s="399">
        <v>0</v>
      </c>
      <c r="EB220" s="399">
        <v>0</v>
      </c>
      <c r="EC220" s="399">
        <v>-28750.10625772909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232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222</v>
      </c>
      <c r="B221" s="399" t="s">
        <v>956</v>
      </c>
      <c r="C221" s="399" t="s">
        <v>2325</v>
      </c>
      <c r="D221" s="399" t="s">
        <v>533</v>
      </c>
      <c r="E221" s="399" t="s">
        <v>890</v>
      </c>
      <c r="F221" s="399" t="s">
        <v>1239</v>
      </c>
      <c r="G221" s="399" t="s">
        <v>1239</v>
      </c>
      <c r="H221" s="399" t="s">
        <v>1239</v>
      </c>
      <c r="I221" s="399" t="s">
        <v>2323</v>
      </c>
      <c r="J221" s="399" t="s">
        <v>2326</v>
      </c>
      <c r="K221" s="788">
        <v>44743</v>
      </c>
      <c r="L221" s="399">
        <v>0</v>
      </c>
      <c r="M221" s="399">
        <v>0</v>
      </c>
      <c r="N221" s="399">
        <v>688.66</v>
      </c>
      <c r="O221" s="399">
        <v>688.66</v>
      </c>
      <c r="P221" s="399">
        <v>688.66</v>
      </c>
      <c r="Q221" s="399">
        <v>688.66</v>
      </c>
      <c r="R221" s="399"/>
      <c r="S221" s="399">
        <v>72.290000000000006</v>
      </c>
      <c r="T221" s="399">
        <v>297.72000000000003</v>
      </c>
      <c r="U221" s="399"/>
      <c r="V221" s="399">
        <v>254811.08660000004</v>
      </c>
      <c r="W221" s="399">
        <v>254811.08660000004</v>
      </c>
      <c r="X221" s="399">
        <v>270946.39039999997</v>
      </c>
      <c r="Y221" s="399">
        <v>0</v>
      </c>
      <c r="Z221" s="399">
        <v>36314.493453185583</v>
      </c>
      <c r="AA221" s="399">
        <v>0</v>
      </c>
      <c r="AB221" s="399">
        <v>0</v>
      </c>
      <c r="AC221" s="399">
        <v>0</v>
      </c>
      <c r="AD221" s="399">
        <v>0</v>
      </c>
      <c r="AE221" s="399">
        <v>0</v>
      </c>
      <c r="AF221" s="399">
        <v>205030.51134521747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6453.355320478584</v>
      </c>
      <c r="AM221" s="399"/>
      <c r="AN221" s="399">
        <v>415.23016647650343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6597.6745301948004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211628.18587541228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270946.39039999997</v>
      </c>
      <c r="CJ221" s="399">
        <v>16135.273799999937</v>
      </c>
      <c r="CK221" s="399"/>
      <c r="CL221" s="399"/>
      <c r="CM221" s="399"/>
      <c r="CN221" s="399"/>
      <c r="CO221" s="399">
        <v>7334.2289999999939</v>
      </c>
      <c r="CP221" s="399">
        <v>8801.0747999999803</v>
      </c>
      <c r="CQ221" s="399">
        <v>31</v>
      </c>
      <c r="CR221" s="399">
        <v>16132.957363488968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0</v>
      </c>
      <c r="DA221" s="399">
        <v>0</v>
      </c>
      <c r="DB221" s="399">
        <v>0</v>
      </c>
      <c r="DC221" s="399">
        <v>8797.937804539717</v>
      </c>
      <c r="DD221" s="399">
        <v>0</v>
      </c>
      <c r="DE221" s="399">
        <v>0</v>
      </c>
      <c r="DF221" s="399">
        <v>0</v>
      </c>
      <c r="DG221" s="399">
        <v>283.1087421594184</v>
      </c>
      <c r="DH221" s="399">
        <v>0</v>
      </c>
      <c r="DI221" s="399">
        <v>6062.5920197692103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939.82224473277802</v>
      </c>
      <c r="DP221" s="399">
        <v>49.496552287878046</v>
      </c>
      <c r="DQ221" s="399">
        <v>0</v>
      </c>
      <c r="DR221" s="399">
        <v>0</v>
      </c>
      <c r="DS221" s="399"/>
      <c r="DT221" s="399"/>
      <c r="DU221" s="399"/>
      <c r="DV221" s="399">
        <v>0</v>
      </c>
      <c r="DW221" s="399">
        <v>0</v>
      </c>
      <c r="DX221" s="399">
        <v>0</v>
      </c>
      <c r="DY221" s="399">
        <v>7334.2289999999921</v>
      </c>
      <c r="DZ221" s="399">
        <v>8801.074799999973</v>
      </c>
      <c r="EA221" s="399">
        <v>0</v>
      </c>
      <c r="EB221" s="399">
        <v>0</v>
      </c>
      <c r="EC221" s="399">
        <v>0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232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223</v>
      </c>
      <c r="B222" s="399" t="s">
        <v>956</v>
      </c>
      <c r="C222" s="399" t="s">
        <v>2325</v>
      </c>
      <c r="D222" s="399" t="s">
        <v>533</v>
      </c>
      <c r="E222" s="399" t="s">
        <v>890</v>
      </c>
      <c r="F222" s="399" t="s">
        <v>1239</v>
      </c>
      <c r="G222" s="399" t="s">
        <v>1239</v>
      </c>
      <c r="H222" s="399" t="s">
        <v>1239</v>
      </c>
      <c r="I222" s="399" t="s">
        <v>1239</v>
      </c>
      <c r="J222" s="399" t="s">
        <v>2326</v>
      </c>
      <c r="K222" s="788">
        <v>44743</v>
      </c>
      <c r="L222" s="399">
        <v>3056</v>
      </c>
      <c r="M222" s="399">
        <v>3056</v>
      </c>
      <c r="N222" s="399">
        <v>0</v>
      </c>
      <c r="O222" s="399">
        <v>0</v>
      </c>
      <c r="P222" s="399">
        <v>0</v>
      </c>
      <c r="Q222" s="399">
        <v>0</v>
      </c>
      <c r="R222" s="399">
        <v>25.76</v>
      </c>
      <c r="S222" s="399"/>
      <c r="T222" s="399"/>
      <c r="U222" s="399">
        <v>78722.559999999998</v>
      </c>
      <c r="V222" s="399"/>
      <c r="W222" s="399">
        <v>78722.559999999998</v>
      </c>
      <c r="X222" s="399">
        <v>57208.32</v>
      </c>
      <c r="Y222" s="399">
        <v>0</v>
      </c>
      <c r="Z222" s="399">
        <v>0</v>
      </c>
      <c r="AA222" s="399">
        <v>0</v>
      </c>
      <c r="AB222" s="399">
        <v>0</v>
      </c>
      <c r="AC222" s="399">
        <v>0</v>
      </c>
      <c r="AD222" s="399">
        <v>37651.073094317275</v>
      </c>
      <c r="AE222" s="399">
        <v>41067.328786442922</v>
      </c>
      <c r="AF222" s="399"/>
      <c r="AG222" s="399"/>
      <c r="AH222" s="399"/>
      <c r="AI222" s="399">
        <v>0</v>
      </c>
      <c r="AJ222" s="399">
        <v>0</v>
      </c>
      <c r="AK222" s="399">
        <v>0</v>
      </c>
      <c r="AL222" s="399">
        <v>0</v>
      </c>
      <c r="AM222" s="399"/>
      <c r="AN222" s="399">
        <v>0</v>
      </c>
      <c r="AO222" s="399">
        <v>0</v>
      </c>
      <c r="AP222" s="399">
        <v>0</v>
      </c>
      <c r="AQ222" s="399">
        <v>0</v>
      </c>
      <c r="AR222" s="399">
        <v>0</v>
      </c>
      <c r="AS222" s="399"/>
      <c r="AT222" s="399"/>
      <c r="AU222" s="399">
        <v>0</v>
      </c>
      <c r="AV222" s="399">
        <v>0</v>
      </c>
      <c r="AW222" s="399">
        <v>0</v>
      </c>
      <c r="AX222" s="399"/>
      <c r="AY222" s="399"/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/>
      <c r="BG222" s="399">
        <v>0</v>
      </c>
      <c r="BH222" s="399">
        <v>0</v>
      </c>
      <c r="BI222" s="399">
        <v>0</v>
      </c>
      <c r="BJ222" s="399">
        <v>0</v>
      </c>
      <c r="BK222" s="399">
        <v>79898.14</v>
      </c>
      <c r="BL222" s="399">
        <v>3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0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57208.32</v>
      </c>
      <c r="CJ222" s="399">
        <v>-21514.269999999982</v>
      </c>
      <c r="CK222" s="399"/>
      <c r="CL222" s="399"/>
      <c r="CM222" s="399"/>
      <c r="CN222" s="399"/>
      <c r="CO222" s="399">
        <v>-21514.240000000009</v>
      </c>
      <c r="CP222" s="399">
        <v>0</v>
      </c>
      <c r="CQ222" s="399">
        <v>31</v>
      </c>
      <c r="CR222" s="399">
        <v>-290.15983251452417</v>
      </c>
      <c r="CS222" s="399">
        <v>0</v>
      </c>
      <c r="CT222" s="399">
        <v>0</v>
      </c>
      <c r="CU222" s="399">
        <v>0</v>
      </c>
      <c r="CV222" s="399">
        <v>0</v>
      </c>
      <c r="CW222" s="399"/>
      <c r="CX222" s="399"/>
      <c r="CY222" s="399"/>
      <c r="CZ222" s="399">
        <v>-290.15983251452417</v>
      </c>
      <c r="DA222" s="399">
        <v>0</v>
      </c>
      <c r="DB222" s="399">
        <v>0</v>
      </c>
      <c r="DC222" s="399"/>
      <c r="DD222" s="399"/>
      <c r="DE222" s="399">
        <v>0</v>
      </c>
      <c r="DF222" s="399">
        <v>0</v>
      </c>
      <c r="DG222" s="399">
        <v>0</v>
      </c>
      <c r="DH222" s="399">
        <v>0</v>
      </c>
      <c r="DI222" s="399">
        <v>0</v>
      </c>
      <c r="DJ222" s="399"/>
      <c r="DK222" s="399">
        <v>0</v>
      </c>
      <c r="DL222" s="399">
        <v>0</v>
      </c>
      <c r="DM222" s="399"/>
      <c r="DN222" s="399">
        <v>0</v>
      </c>
      <c r="DO222" s="399">
        <v>0</v>
      </c>
      <c r="DP222" s="399">
        <v>0</v>
      </c>
      <c r="DQ222" s="399">
        <v>0</v>
      </c>
      <c r="DR222" s="399">
        <v>0</v>
      </c>
      <c r="DS222" s="399"/>
      <c r="DT222" s="399"/>
      <c r="DU222" s="399">
        <v>41067.328786442922</v>
      </c>
      <c r="DV222" s="399"/>
      <c r="DW222" s="399">
        <v>0</v>
      </c>
      <c r="DX222" s="399">
        <v>0</v>
      </c>
      <c r="DY222" s="399">
        <v>-21514.239999999998</v>
      </c>
      <c r="DZ222" s="399"/>
      <c r="EA222" s="399">
        <v>0</v>
      </c>
      <c r="EB222" s="399"/>
      <c r="EC222" s="399">
        <v>-21231.235384628708</v>
      </c>
      <c r="ED222" s="399"/>
      <c r="EE222" s="399">
        <v>0</v>
      </c>
      <c r="EF222" s="399">
        <v>0</v>
      </c>
      <c r="EG222" s="399"/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/>
      <c r="EN222" s="399"/>
      <c r="EO222" s="399">
        <v>0</v>
      </c>
      <c r="EP222" s="399">
        <v>0</v>
      </c>
      <c r="EQ222" s="399"/>
      <c r="ER222" s="399">
        <v>0</v>
      </c>
      <c r="ES222" s="399"/>
      <c r="ET222" s="399">
        <v>0</v>
      </c>
      <c r="EU222" s="399"/>
      <c r="EV222" s="399">
        <v>232</v>
      </c>
      <c r="EW222" s="399"/>
      <c r="EX222" s="399"/>
      <c r="EY222" s="399"/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224</v>
      </c>
      <c r="B223" s="399" t="s">
        <v>956</v>
      </c>
      <c r="C223" s="399" t="s">
        <v>2328</v>
      </c>
      <c r="D223" s="399" t="s">
        <v>1824</v>
      </c>
      <c r="E223" s="399" t="s">
        <v>918</v>
      </c>
      <c r="F223" s="399" t="s">
        <v>1239</v>
      </c>
      <c r="G223" s="399" t="s">
        <v>1239</v>
      </c>
      <c r="H223" s="399" t="s">
        <v>1239</v>
      </c>
      <c r="I223" s="399" t="s">
        <v>1239</v>
      </c>
      <c r="J223" s="399" t="s">
        <v>2326</v>
      </c>
      <c r="K223" s="788">
        <v>44743</v>
      </c>
      <c r="L223" s="399">
        <v>0</v>
      </c>
      <c r="M223" s="399">
        <v>0</v>
      </c>
      <c r="N223" s="399">
        <v>19.463999999999999</v>
      </c>
      <c r="O223" s="399">
        <v>19.463999999999999</v>
      </c>
      <c r="P223" s="399">
        <v>19.463999999999999</v>
      </c>
      <c r="Q223" s="399">
        <v>19.463999999999999</v>
      </c>
      <c r="R223" s="399"/>
      <c r="S223" s="399">
        <v>395.23</v>
      </c>
      <c r="T223" s="399">
        <v>297.72000000000003</v>
      </c>
      <c r="U223" s="399"/>
      <c r="V223" s="399">
        <v>13487.578799999999</v>
      </c>
      <c r="W223" s="399">
        <v>13487.578799999999</v>
      </c>
      <c r="X223" s="399">
        <v>11953.815599999998</v>
      </c>
      <c r="Y223" s="399">
        <v>0</v>
      </c>
      <c r="Z223" s="399">
        <v>1179.7445389911034</v>
      </c>
      <c r="AA223" s="399">
        <v>0</v>
      </c>
      <c r="AB223" s="399">
        <v>0</v>
      </c>
      <c r="AC223" s="399">
        <v>0</v>
      </c>
      <c r="AD223" s="399">
        <v>1934.6730018271271</v>
      </c>
      <c r="AE223" s="399">
        <v>3895.6185235006892</v>
      </c>
      <c r="AF223" s="399">
        <v>5794.897152184406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182.39495245519583</v>
      </c>
      <c r="AM223" s="399"/>
      <c r="AN223" s="399">
        <v>17.330491330049696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482.97587211040201</v>
      </c>
      <c r="BH223" s="399">
        <v>0</v>
      </c>
      <c r="BI223" s="399">
        <v>0</v>
      </c>
      <c r="BJ223" s="399">
        <v>0</v>
      </c>
      <c r="BK223" s="399">
        <v>2121.21</v>
      </c>
      <c r="BL223" s="399">
        <v>49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6277.8730242948077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11951.359</v>
      </c>
      <c r="CJ223" s="399">
        <v>-1536.2497999999996</v>
      </c>
      <c r="CK223" s="399"/>
      <c r="CL223" s="399"/>
      <c r="CM223" s="399"/>
      <c r="CN223" s="399"/>
      <c r="CO223" s="399">
        <v>-1782.5131200000008</v>
      </c>
      <c r="CP223" s="399">
        <v>248.74991999999946</v>
      </c>
      <c r="CQ223" s="399">
        <v>31</v>
      </c>
      <c r="CR223" s="399">
        <v>480.05956227674324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-14.909651918135751</v>
      </c>
      <c r="DA223" s="399">
        <v>0</v>
      </c>
      <c r="DB223" s="399">
        <v>0</v>
      </c>
      <c r="DC223" s="399">
        <v>248.66125726419523</v>
      </c>
      <c r="DD223" s="399">
        <v>0</v>
      </c>
      <c r="DE223" s="399">
        <v>0</v>
      </c>
      <c r="DF223" s="399">
        <v>0</v>
      </c>
      <c r="DG223" s="399">
        <v>20.724679736890209</v>
      </c>
      <c r="DH223" s="399">
        <v>0</v>
      </c>
      <c r="DI223" s="399">
        <v>196.95469074005314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26.562745290097837</v>
      </c>
      <c r="DP223" s="399">
        <v>2.0658411636404317</v>
      </c>
      <c r="DQ223" s="399">
        <v>0</v>
      </c>
      <c r="DR223" s="399">
        <v>0</v>
      </c>
      <c r="DS223" s="399"/>
      <c r="DT223" s="399"/>
      <c r="DU223" s="399"/>
      <c r="DV223" s="399">
        <v>3895.6185235006892</v>
      </c>
      <c r="DW223" s="399">
        <v>0</v>
      </c>
      <c r="DX223" s="399">
        <v>0</v>
      </c>
      <c r="DY223" s="399">
        <v>-1782.5131200000005</v>
      </c>
      <c r="DZ223" s="399">
        <v>248.74991999999929</v>
      </c>
      <c r="EA223" s="399">
        <v>0</v>
      </c>
      <c r="EB223" s="399">
        <v>0</v>
      </c>
      <c r="EC223" s="399">
        <v>-2013.9803655422268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232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225</v>
      </c>
      <c r="B224" s="399" t="s">
        <v>956</v>
      </c>
      <c r="C224" s="399" t="s">
        <v>2328</v>
      </c>
      <c r="D224" s="399" t="s">
        <v>2335</v>
      </c>
      <c r="E224" s="399" t="s">
        <v>894</v>
      </c>
      <c r="F224" s="399" t="s">
        <v>1239</v>
      </c>
      <c r="G224" s="399" t="s">
        <v>1239</v>
      </c>
      <c r="H224" s="399" t="s">
        <v>1239</v>
      </c>
      <c r="I224" s="399" t="s">
        <v>1239</v>
      </c>
      <c r="J224" s="399" t="s">
        <v>2326</v>
      </c>
      <c r="K224" s="788">
        <v>44743</v>
      </c>
      <c r="L224" s="399">
        <v>0</v>
      </c>
      <c r="M224" s="399">
        <v>0</v>
      </c>
      <c r="N224" s="399">
        <v>380.39699999999999</v>
      </c>
      <c r="O224" s="399">
        <v>380.39699999999999</v>
      </c>
      <c r="P224" s="399">
        <v>380.39699999999999</v>
      </c>
      <c r="Q224" s="399">
        <v>380.39699999999999</v>
      </c>
      <c r="R224" s="399"/>
      <c r="S224" s="399">
        <v>395.23</v>
      </c>
      <c r="T224" s="399">
        <v>297.72000000000003</v>
      </c>
      <c r="U224" s="399"/>
      <c r="V224" s="399">
        <v>263596.10115</v>
      </c>
      <c r="W224" s="399">
        <v>263596.10115</v>
      </c>
      <c r="X224" s="399">
        <v>233620.81754999998</v>
      </c>
      <c r="Y224" s="399">
        <v>0</v>
      </c>
      <c r="Z224" s="399">
        <v>23056.477774280662</v>
      </c>
      <c r="AA224" s="399">
        <v>0</v>
      </c>
      <c r="AB224" s="399">
        <v>0</v>
      </c>
      <c r="AC224" s="399">
        <v>0</v>
      </c>
      <c r="AD224" s="399">
        <v>37810.512015825821</v>
      </c>
      <c r="AE224" s="399">
        <v>76134.48414940873</v>
      </c>
      <c r="AF224" s="399">
        <v>113253.2620221687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3564.6574562833503</v>
      </c>
      <c r="AM224" s="399"/>
      <c r="AN224" s="399">
        <v>338.70051944497095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9439.0964253586426</v>
      </c>
      <c r="BH224" s="399">
        <v>0</v>
      </c>
      <c r="BI224" s="399">
        <v>0.98</v>
      </c>
      <c r="BJ224" s="399">
        <v>4.58</v>
      </c>
      <c r="BK224" s="399">
        <v>49165.86</v>
      </c>
      <c r="BL224" s="399">
        <v>939</v>
      </c>
      <c r="BM224" s="399"/>
      <c r="BN224" s="399"/>
      <c r="BO224" s="399"/>
      <c r="BP224" s="399"/>
      <c r="BQ224" s="399"/>
      <c r="BR224" s="399">
        <v>28035.258899999993</v>
      </c>
      <c r="BS224" s="399"/>
      <c r="BT224" s="399"/>
      <c r="BU224" s="399"/>
      <c r="BV224" s="399">
        <v>122692.35844752734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205587.18</v>
      </c>
      <c r="CJ224" s="399">
        <v>-26378.940600000031</v>
      </c>
      <c r="CK224" s="399"/>
      <c r="CL224" s="399"/>
      <c r="CM224" s="399"/>
      <c r="CN224" s="399"/>
      <c r="CO224" s="399">
        <v>-34836.757260000013</v>
      </c>
      <c r="CP224" s="399">
        <v>4861.4736599999896</v>
      </c>
      <c r="CQ224" s="399">
        <v>31</v>
      </c>
      <c r="CR224" s="399">
        <v>9382.101177116012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-291.38855634521315</v>
      </c>
      <c r="DA224" s="399">
        <v>0</v>
      </c>
      <c r="DB224" s="399">
        <v>0</v>
      </c>
      <c r="DC224" s="399">
        <v>4859.7408692729223</v>
      </c>
      <c r="DD224" s="399">
        <v>0</v>
      </c>
      <c r="DE224" s="399">
        <v>0</v>
      </c>
      <c r="DF224" s="399">
        <v>0</v>
      </c>
      <c r="DG224" s="399">
        <v>405.03524444481081</v>
      </c>
      <c r="DH224" s="399">
        <v>0</v>
      </c>
      <c r="DI224" s="399">
        <v>3849.2074339007377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519.13217324893913</v>
      </c>
      <c r="DP224" s="399">
        <v>40.37401259377981</v>
      </c>
      <c r="DQ224" s="399">
        <v>0</v>
      </c>
      <c r="DR224" s="399">
        <v>0</v>
      </c>
      <c r="DS224" s="399"/>
      <c r="DT224" s="399"/>
      <c r="DU224" s="399"/>
      <c r="DV224" s="399">
        <v>76134.48414940873</v>
      </c>
      <c r="DW224" s="399">
        <v>0</v>
      </c>
      <c r="DX224" s="399">
        <v>0</v>
      </c>
      <c r="DY224" s="399">
        <v>-34836.757260000028</v>
      </c>
      <c r="DZ224" s="399">
        <v>4861.4736599999887</v>
      </c>
      <c r="EA224" s="399">
        <v>0</v>
      </c>
      <c r="EB224" s="399">
        <v>0</v>
      </c>
      <c r="EC224" s="399">
        <v>-39360.46491528803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232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226</v>
      </c>
      <c r="B225" s="399" t="s">
        <v>2330</v>
      </c>
      <c r="C225" s="399" t="s">
        <v>2328</v>
      </c>
      <c r="D225" s="399" t="s">
        <v>2335</v>
      </c>
      <c r="E225" s="399" t="s">
        <v>894</v>
      </c>
      <c r="F225" s="399" t="s">
        <v>1239</v>
      </c>
      <c r="G225" s="399" t="s">
        <v>1239</v>
      </c>
      <c r="H225" s="399" t="s">
        <v>1239</v>
      </c>
      <c r="I225" s="399" t="s">
        <v>1239</v>
      </c>
      <c r="J225" s="399" t="s">
        <v>2326</v>
      </c>
      <c r="K225" s="788">
        <v>44743</v>
      </c>
      <c r="L225" s="399">
        <v>0</v>
      </c>
      <c r="M225" s="399">
        <v>0</v>
      </c>
      <c r="N225" s="399">
        <v>65.037000000000006</v>
      </c>
      <c r="O225" s="399">
        <v>65.037000000000006</v>
      </c>
      <c r="P225" s="399">
        <v>65.037000000000006</v>
      </c>
      <c r="Q225" s="399">
        <v>65.037000000000006</v>
      </c>
      <c r="R225" s="399"/>
      <c r="S225" s="399">
        <v>395.23</v>
      </c>
      <c r="T225" s="399">
        <v>297.72000000000003</v>
      </c>
      <c r="U225" s="399"/>
      <c r="V225" s="399">
        <v>45067.389150000003</v>
      </c>
      <c r="W225" s="399">
        <v>45067.389150000003</v>
      </c>
      <c r="X225" s="399">
        <v>39942.473550000002</v>
      </c>
      <c r="Y225" s="399">
        <v>0</v>
      </c>
      <c r="Z225" s="399">
        <v>3941.9978207133377</v>
      </c>
      <c r="AA225" s="399">
        <v>0</v>
      </c>
      <c r="AB225" s="399">
        <v>0</v>
      </c>
      <c r="AC225" s="399">
        <v>0</v>
      </c>
      <c r="AD225" s="399">
        <v>6464.5154140891336</v>
      </c>
      <c r="AE225" s="399">
        <v>13016.817813035057</v>
      </c>
      <c r="AF225" s="399">
        <v>19363.066486159951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609.45440417327234</v>
      </c>
      <c r="AM225" s="399"/>
      <c r="AN225" s="399">
        <v>57.908095182513478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1613.8153408571836</v>
      </c>
      <c r="BH225" s="399">
        <v>0</v>
      </c>
      <c r="BI225" s="399">
        <v>0</v>
      </c>
      <c r="BJ225" s="399">
        <v>0</v>
      </c>
      <c r="BK225" s="399">
        <v>17273.45</v>
      </c>
      <c r="BL225" s="399">
        <v>30</v>
      </c>
      <c r="BM225" s="399"/>
      <c r="BN225" s="399"/>
      <c r="BO225" s="399"/>
      <c r="BP225" s="399"/>
      <c r="BQ225" s="399"/>
      <c r="BR225" s="399">
        <v>4793.2268999999997</v>
      </c>
      <c r="BS225" s="399"/>
      <c r="BT225" s="399"/>
      <c r="BU225" s="399"/>
      <c r="BV225" s="399">
        <v>20976.881827017136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35150.868000000002</v>
      </c>
      <c r="CJ225" s="399">
        <v>-4508.7246000000014</v>
      </c>
      <c r="CK225" s="399"/>
      <c r="CL225" s="399"/>
      <c r="CM225" s="399"/>
      <c r="CN225" s="399"/>
      <c r="CO225" s="399">
        <v>-5956.0884600000036</v>
      </c>
      <c r="CP225" s="399">
        <v>831.17285999999831</v>
      </c>
      <c r="CQ225" s="399">
        <v>31</v>
      </c>
      <c r="CR225" s="399">
        <v>1604.0707846173573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-49.819103565547266</v>
      </c>
      <c r="DA225" s="399">
        <v>0</v>
      </c>
      <c r="DB225" s="399">
        <v>0</v>
      </c>
      <c r="DC225" s="399">
        <v>830.87660237831005</v>
      </c>
      <c r="DD225" s="399">
        <v>0</v>
      </c>
      <c r="DE225" s="399">
        <v>0</v>
      </c>
      <c r="DF225" s="399">
        <v>0</v>
      </c>
      <c r="DG225" s="399">
        <v>69.249434651054798</v>
      </c>
      <c r="DH225" s="399">
        <v>0</v>
      </c>
      <c r="DI225" s="399">
        <v>658.10430649716591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88.756744011102228</v>
      </c>
      <c r="DP225" s="399">
        <v>6.9028006452775799</v>
      </c>
      <c r="DQ225" s="399">
        <v>0</v>
      </c>
      <c r="DR225" s="399">
        <v>0</v>
      </c>
      <c r="DS225" s="399"/>
      <c r="DT225" s="399"/>
      <c r="DU225" s="399"/>
      <c r="DV225" s="399">
        <v>13016.817813035057</v>
      </c>
      <c r="DW225" s="399">
        <v>0</v>
      </c>
      <c r="DX225" s="399">
        <v>0</v>
      </c>
      <c r="DY225" s="399">
        <v>-5956.0884600000027</v>
      </c>
      <c r="DZ225" s="399">
        <v>831.17285999999876</v>
      </c>
      <c r="EA225" s="399">
        <v>0</v>
      </c>
      <c r="EB225" s="399">
        <v>0</v>
      </c>
      <c r="EC225" s="399">
        <v>-6729.5130000909276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232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227</v>
      </c>
      <c r="B226" s="399" t="s">
        <v>956</v>
      </c>
      <c r="C226" s="399" t="s">
        <v>2328</v>
      </c>
      <c r="D226" s="399" t="s">
        <v>1824</v>
      </c>
      <c r="E226" s="399" t="s">
        <v>2336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2326</v>
      </c>
      <c r="K226" s="788">
        <v>44743</v>
      </c>
      <c r="L226" s="399">
        <v>0</v>
      </c>
      <c r="M226" s="399">
        <v>0</v>
      </c>
      <c r="N226" s="399">
        <v>0.872</v>
      </c>
      <c r="O226" s="399">
        <v>0.872</v>
      </c>
      <c r="P226" s="399">
        <v>0.872</v>
      </c>
      <c r="Q226" s="399">
        <v>0.872</v>
      </c>
      <c r="R226" s="399"/>
      <c r="S226" s="399">
        <v>395.23</v>
      </c>
      <c r="T226" s="399">
        <v>297.72000000000003</v>
      </c>
      <c r="U226" s="399"/>
      <c r="V226" s="399">
        <v>604.25240000000008</v>
      </c>
      <c r="W226" s="399">
        <v>604.25240000000008</v>
      </c>
      <c r="X226" s="399">
        <v>535.53879999999992</v>
      </c>
      <c r="Y226" s="399">
        <v>0</v>
      </c>
      <c r="Z226" s="399">
        <v>52.85333117551594</v>
      </c>
      <c r="AA226" s="399">
        <v>0</v>
      </c>
      <c r="AB226" s="399">
        <v>0</v>
      </c>
      <c r="AC226" s="399">
        <v>0</v>
      </c>
      <c r="AD226" s="399">
        <v>86.674622769895961</v>
      </c>
      <c r="AE226" s="399">
        <v>174.52627170636052</v>
      </c>
      <c r="AF226" s="399">
        <v>259.6152032832307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8.17141381735156</v>
      </c>
      <c r="AM226" s="399"/>
      <c r="AN226" s="399">
        <v>0.77641740853901242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21.637636687231328</v>
      </c>
      <c r="BH226" s="399">
        <v>0</v>
      </c>
      <c r="BI226" s="399">
        <v>0</v>
      </c>
      <c r="BJ226" s="399">
        <v>0</v>
      </c>
      <c r="BK226" s="399">
        <v>106.18</v>
      </c>
      <c r="BL226" s="399">
        <v>17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281.25283997046205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534.31050000000005</v>
      </c>
      <c r="CJ226" s="399">
        <v>-69.971900000000005</v>
      </c>
      <c r="CK226" s="399"/>
      <c r="CL226" s="399"/>
      <c r="CM226" s="399"/>
      <c r="CN226" s="399"/>
      <c r="CO226" s="399">
        <v>-79.857760000000042</v>
      </c>
      <c r="CP226" s="399">
        <v>11.144159999999976</v>
      </c>
      <c r="CQ226" s="399">
        <v>31</v>
      </c>
      <c r="CR226" s="399">
        <v>21.506984088846991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-0.66796221088237928</v>
      </c>
      <c r="DA226" s="399">
        <v>0</v>
      </c>
      <c r="DB226" s="399">
        <v>0</v>
      </c>
      <c r="DC226" s="399">
        <v>11.140187851129156</v>
      </c>
      <c r="DD226" s="399">
        <v>0</v>
      </c>
      <c r="DE226" s="399">
        <v>0</v>
      </c>
      <c r="DF226" s="399">
        <v>0</v>
      </c>
      <c r="DG226" s="399">
        <v>0.92847928126635182</v>
      </c>
      <c r="DH226" s="399">
        <v>0</v>
      </c>
      <c r="DI226" s="399">
        <v>8.8236996673513346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1.190028457304015</v>
      </c>
      <c r="DP226" s="399">
        <v>9.2551042678506779E-2</v>
      </c>
      <c r="DQ226" s="399">
        <v>0</v>
      </c>
      <c r="DR226" s="399">
        <v>0</v>
      </c>
      <c r="DS226" s="399"/>
      <c r="DT226" s="399"/>
      <c r="DU226" s="399"/>
      <c r="DV226" s="399">
        <v>174.52627170636052</v>
      </c>
      <c r="DW226" s="399">
        <v>0</v>
      </c>
      <c r="DX226" s="399">
        <v>0</v>
      </c>
      <c r="DY226" s="399">
        <v>-79.857760000000042</v>
      </c>
      <c r="DZ226" s="399">
        <v>11.144159999999943</v>
      </c>
      <c r="EA226" s="399">
        <v>0</v>
      </c>
      <c r="EB226" s="399">
        <v>0</v>
      </c>
      <c r="EC226" s="399">
        <v>-90.227644818784512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232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228</v>
      </c>
      <c r="B227" s="399" t="s">
        <v>956</v>
      </c>
      <c r="C227" s="399" t="s">
        <v>2328</v>
      </c>
      <c r="D227" s="399" t="s">
        <v>2337</v>
      </c>
      <c r="E227" s="399" t="s">
        <v>2338</v>
      </c>
      <c r="F227" s="399" t="s">
        <v>2339</v>
      </c>
      <c r="G227" s="399" t="s">
        <v>1239</v>
      </c>
      <c r="H227" s="399" t="s">
        <v>1239</v>
      </c>
      <c r="I227" s="399" t="s">
        <v>1239</v>
      </c>
      <c r="J227" s="399" t="s">
        <v>2326</v>
      </c>
      <c r="K227" s="788">
        <v>44743</v>
      </c>
      <c r="L227" s="399">
        <v>0</v>
      </c>
      <c r="M227" s="399">
        <v>0</v>
      </c>
      <c r="N227" s="399">
        <v>21.538</v>
      </c>
      <c r="O227" s="399">
        <v>21.538</v>
      </c>
      <c r="P227" s="399">
        <v>21.538</v>
      </c>
      <c r="Q227" s="399">
        <v>21.538</v>
      </c>
      <c r="R227" s="399"/>
      <c r="S227" s="399">
        <v>217.38</v>
      </c>
      <c r="T227" s="399">
        <v>163.75</v>
      </c>
      <c r="U227" s="399"/>
      <c r="V227" s="399">
        <v>8208.7779399999999</v>
      </c>
      <c r="W227" s="399">
        <v>8208.7779399999999</v>
      </c>
      <c r="X227" s="399">
        <v>7275.1056399999998</v>
      </c>
      <c r="Y227" s="399">
        <v>0</v>
      </c>
      <c r="Z227" s="399">
        <v>717.99916946335372</v>
      </c>
      <c r="AA227" s="399">
        <v>0</v>
      </c>
      <c r="AB227" s="399">
        <v>0</v>
      </c>
      <c r="AC227" s="399">
        <v>0</v>
      </c>
      <c r="AD227" s="399">
        <v>1177.4528828783377</v>
      </c>
      <c r="AE227" s="399">
        <v>2370.8953692733699</v>
      </c>
      <c r="AF227" s="399">
        <v>3526.8070373541523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111.00659511349171</v>
      </c>
      <c r="AM227" s="399"/>
      <c r="AN227" s="399">
        <v>10.547434609876465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293.94183535925879</v>
      </c>
      <c r="BH227" s="399">
        <v>0</v>
      </c>
      <c r="BI227" s="399">
        <v>0</v>
      </c>
      <c r="BJ227" s="399">
        <v>0</v>
      </c>
      <c r="BK227" s="399">
        <v>1490.08</v>
      </c>
      <c r="BL227" s="399">
        <v>1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3820.7488727134109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7275.7811999999994</v>
      </c>
      <c r="CJ227" s="399">
        <v>-933.02674000000115</v>
      </c>
      <c r="CK227" s="399"/>
      <c r="CL227" s="399"/>
      <c r="CM227" s="399"/>
      <c r="CN227" s="399"/>
      <c r="CO227" s="399">
        <v>-1084.8690600000002</v>
      </c>
      <c r="CP227" s="399">
        <v>151.19676000000021</v>
      </c>
      <c r="CQ227" s="399">
        <v>31</v>
      </c>
      <c r="CR227" s="399">
        <v>292.1669527730246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-9.0740981122605717</v>
      </c>
      <c r="DA227" s="399">
        <v>0</v>
      </c>
      <c r="DB227" s="399">
        <v>0</v>
      </c>
      <c r="DC227" s="399">
        <v>151.33664135974277</v>
      </c>
      <c r="DD227" s="399">
        <v>0</v>
      </c>
      <c r="DE227" s="399">
        <v>0</v>
      </c>
      <c r="DF227" s="399">
        <v>0</v>
      </c>
      <c r="DG227" s="399">
        <v>12.613156786643515</v>
      </c>
      <c r="DH227" s="399">
        <v>0</v>
      </c>
      <c r="DI227" s="399">
        <v>119.86773381820694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16.166236355938167</v>
      </c>
      <c r="DP227" s="399">
        <v>1.2572825647538224</v>
      </c>
      <c r="DQ227" s="399">
        <v>0</v>
      </c>
      <c r="DR227" s="399">
        <v>0</v>
      </c>
      <c r="DS227" s="399"/>
      <c r="DT227" s="399"/>
      <c r="DU227" s="399"/>
      <c r="DV227" s="399">
        <v>2370.8953692733699</v>
      </c>
      <c r="DW227" s="399">
        <v>0</v>
      </c>
      <c r="DX227" s="399">
        <v>0</v>
      </c>
      <c r="DY227" s="399">
        <v>-1084.8690600000004</v>
      </c>
      <c r="DZ227" s="399">
        <v>151.19676000000027</v>
      </c>
      <c r="EA227" s="399">
        <v>0</v>
      </c>
      <c r="EB227" s="399">
        <v>0</v>
      </c>
      <c r="EC227" s="399">
        <v>-1225.7197910078457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232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229</v>
      </c>
      <c r="B228" s="399" t="s">
        <v>956</v>
      </c>
      <c r="C228" s="399" t="s">
        <v>2328</v>
      </c>
      <c r="D228" s="399" t="s">
        <v>1824</v>
      </c>
      <c r="E228" s="399" t="s">
        <v>921</v>
      </c>
      <c r="F228" s="399" t="s">
        <v>2327</v>
      </c>
      <c r="G228" s="399" t="s">
        <v>1239</v>
      </c>
      <c r="H228" s="399" t="s">
        <v>1239</v>
      </c>
      <c r="I228" s="399" t="s">
        <v>1239</v>
      </c>
      <c r="J228" s="399" t="s">
        <v>2326</v>
      </c>
      <c r="K228" s="788">
        <v>44743</v>
      </c>
      <c r="L228" s="399">
        <v>0</v>
      </c>
      <c r="M228" s="399">
        <v>0</v>
      </c>
      <c r="N228" s="399">
        <v>0.64200000000000002</v>
      </c>
      <c r="O228" s="399">
        <v>0.60348000000000002</v>
      </c>
      <c r="P228" s="399">
        <v>0.64200000000000002</v>
      </c>
      <c r="Q228" s="399">
        <v>0.60348000000000002</v>
      </c>
      <c r="R228" s="399"/>
      <c r="S228" s="399">
        <v>395.23</v>
      </c>
      <c r="T228" s="399">
        <v>297.72000000000003</v>
      </c>
      <c r="U228" s="399"/>
      <c r="V228" s="399">
        <v>444.87390000000005</v>
      </c>
      <c r="W228" s="399">
        <v>444.87390000000005</v>
      </c>
      <c r="X228" s="399">
        <v>394.28430000000003</v>
      </c>
      <c r="Y228" s="399">
        <v>0</v>
      </c>
      <c r="Z228" s="399">
        <v>38.912658961790406</v>
      </c>
      <c r="AA228" s="399">
        <v>0</v>
      </c>
      <c r="AB228" s="399">
        <v>0</v>
      </c>
      <c r="AC228" s="399">
        <v>0</v>
      </c>
      <c r="AD228" s="399">
        <v>63.813197039304143</v>
      </c>
      <c r="AE228" s="399">
        <v>128.4929660957379</v>
      </c>
      <c r="AF228" s="399">
        <v>191.13871617870885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6.0161097141510345</v>
      </c>
      <c r="AM228" s="399"/>
      <c r="AN228" s="399">
        <v>0.57162841316748392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15.930461872938663</v>
      </c>
      <c r="BH228" s="399">
        <v>0</v>
      </c>
      <c r="BI228" s="399">
        <v>0</v>
      </c>
      <c r="BJ228" s="399">
        <v>0</v>
      </c>
      <c r="BK228" s="399">
        <v>78.25</v>
      </c>
      <c r="BL228" s="399">
        <v>2</v>
      </c>
      <c r="BM228" s="399"/>
      <c r="BN228" s="399"/>
      <c r="BO228" s="399"/>
      <c r="BP228" s="399"/>
      <c r="BQ228" s="399">
        <v>23.657057999999999</v>
      </c>
      <c r="BR228" s="399"/>
      <c r="BS228" s="399"/>
      <c r="BT228" s="399"/>
      <c r="BU228" s="399"/>
      <c r="BV228" s="399">
        <v>207.0691780516475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368.48999999999995</v>
      </c>
      <c r="CJ228" s="399">
        <v>-49.721466000000078</v>
      </c>
      <c r="CK228" s="399"/>
      <c r="CL228" s="399"/>
      <c r="CM228" s="399"/>
      <c r="CN228" s="399"/>
      <c r="CO228" s="399">
        <v>-58.794360000000026</v>
      </c>
      <c r="CP228" s="399">
        <v>8.2047599999999825</v>
      </c>
      <c r="CQ228" s="399">
        <v>31</v>
      </c>
      <c r="CR228" s="399">
        <v>15.834270395687895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-0.49177951764505679</v>
      </c>
      <c r="DA228" s="399">
        <v>0</v>
      </c>
      <c r="DB228" s="399">
        <v>0</v>
      </c>
      <c r="DC228" s="399">
        <v>8.201835550946015</v>
      </c>
      <c r="DD228" s="399">
        <v>0</v>
      </c>
      <c r="DE228" s="399">
        <v>0</v>
      </c>
      <c r="DF228" s="399">
        <v>0</v>
      </c>
      <c r="DG228" s="399">
        <v>0.68358222313417194</v>
      </c>
      <c r="DH228" s="399">
        <v>0</v>
      </c>
      <c r="DI228" s="399">
        <v>6.4963476908710476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0.87614480457474464</v>
      </c>
      <c r="DP228" s="399">
        <v>6.8139643806882311E-2</v>
      </c>
      <c r="DQ228" s="399">
        <v>0</v>
      </c>
      <c r="DR228" s="399">
        <v>0</v>
      </c>
      <c r="DS228" s="399"/>
      <c r="DT228" s="399"/>
      <c r="DU228" s="399"/>
      <c r="DV228" s="399">
        <v>128.4929660957379</v>
      </c>
      <c r="DW228" s="399">
        <v>0</v>
      </c>
      <c r="DX228" s="399">
        <v>0</v>
      </c>
      <c r="DY228" s="399">
        <v>-58.794360000000012</v>
      </c>
      <c r="DZ228" s="399">
        <v>8.2047599999999932</v>
      </c>
      <c r="EA228" s="399">
        <v>0</v>
      </c>
      <c r="EB228" s="399">
        <v>0</v>
      </c>
      <c r="EC228" s="399">
        <v>-66.429068777132628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232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230</v>
      </c>
      <c r="B229" s="399" t="s">
        <v>956</v>
      </c>
      <c r="C229" s="399" t="s">
        <v>2328</v>
      </c>
      <c r="D229" s="399" t="s">
        <v>1821</v>
      </c>
      <c r="E229" s="399" t="s">
        <v>889</v>
      </c>
      <c r="F229" s="399" t="s">
        <v>889</v>
      </c>
      <c r="G229" s="399" t="s">
        <v>1239</v>
      </c>
      <c r="H229" s="399" t="s">
        <v>1239</v>
      </c>
      <c r="I229" s="399" t="s">
        <v>1239</v>
      </c>
      <c r="J229" s="399" t="s">
        <v>2326</v>
      </c>
      <c r="K229" s="788">
        <v>44774</v>
      </c>
      <c r="L229" s="399">
        <v>0</v>
      </c>
      <c r="M229" s="399">
        <v>0</v>
      </c>
      <c r="N229" s="399">
        <v>40.055999999999997</v>
      </c>
      <c r="O229" s="399">
        <v>40.055999999999997</v>
      </c>
      <c r="P229" s="399">
        <v>40.055999999999997</v>
      </c>
      <c r="Q229" s="399">
        <v>40.055999999999997</v>
      </c>
      <c r="R229" s="399"/>
      <c r="S229" s="399">
        <v>395.23</v>
      </c>
      <c r="T229" s="399">
        <v>297.72000000000003</v>
      </c>
      <c r="U229" s="399"/>
      <c r="V229" s="399">
        <v>27756.805200000003</v>
      </c>
      <c r="W229" s="399">
        <v>27756.805200000003</v>
      </c>
      <c r="X229" s="399">
        <v>24600.392399999997</v>
      </c>
      <c r="Y229" s="399">
        <v>0</v>
      </c>
      <c r="Z229" s="399">
        <v>2427.8589834477825</v>
      </c>
      <c r="AA229" s="399">
        <v>0</v>
      </c>
      <c r="AB229" s="399">
        <v>0</v>
      </c>
      <c r="AC229" s="399">
        <v>0</v>
      </c>
      <c r="AD229" s="399">
        <v>3981.4663872373308</v>
      </c>
      <c r="AE229" s="399">
        <v>8017.0003893004314</v>
      </c>
      <c r="AF229" s="399">
        <v>11925.626815037946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375.36026590347944</v>
      </c>
      <c r="AM229" s="399"/>
      <c r="AN229" s="399">
        <v>35.665339124356279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993.9417146143785</v>
      </c>
      <c r="BH229" s="399">
        <v>0</v>
      </c>
      <c r="BI229" s="399">
        <v>0</v>
      </c>
      <c r="BJ229" s="399">
        <v>0</v>
      </c>
      <c r="BK229" s="399">
        <v>3802.76</v>
      </c>
      <c r="BL229" s="399">
        <v>272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12919.568529652324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24602.849000000002</v>
      </c>
      <c r="CJ229" s="399">
        <v>-3153.9861999999957</v>
      </c>
      <c r="CK229" s="399"/>
      <c r="CL229" s="399"/>
      <c r="CM229" s="399"/>
      <c r="CN229" s="399"/>
      <c r="CO229" s="399">
        <v>-3668.3284800000015</v>
      </c>
      <c r="CP229" s="399">
        <v>511.91567999999887</v>
      </c>
      <c r="CQ229" s="399">
        <v>31</v>
      </c>
      <c r="CR229" s="399">
        <v>987.94008562253657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-30.683365044844322</v>
      </c>
      <c r="DA229" s="399">
        <v>0</v>
      </c>
      <c r="DB229" s="399">
        <v>0</v>
      </c>
      <c r="DC229" s="399">
        <v>511.73321624407072</v>
      </c>
      <c r="DD229" s="399">
        <v>0</v>
      </c>
      <c r="DE229" s="399">
        <v>0</v>
      </c>
      <c r="DF229" s="399">
        <v>0</v>
      </c>
      <c r="DG229" s="399">
        <v>42.650419828446047</v>
      </c>
      <c r="DH229" s="399">
        <v>0</v>
      </c>
      <c r="DI229" s="399">
        <v>405.32352508649637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54.664885190102723</v>
      </c>
      <c r="DP229" s="399">
        <v>4.2514043182686621</v>
      </c>
      <c r="DQ229" s="399">
        <v>0</v>
      </c>
      <c r="DR229" s="399">
        <v>0</v>
      </c>
      <c r="DS229" s="399"/>
      <c r="DT229" s="399"/>
      <c r="DU229" s="399"/>
      <c r="DV229" s="399">
        <v>8017.0003893004314</v>
      </c>
      <c r="DW229" s="399">
        <v>0</v>
      </c>
      <c r="DX229" s="399">
        <v>0</v>
      </c>
      <c r="DY229" s="399">
        <v>-3668.3284800000019</v>
      </c>
      <c r="DZ229" s="399">
        <v>511.91567999999825</v>
      </c>
      <c r="EA229" s="399">
        <v>0</v>
      </c>
      <c r="EB229" s="399">
        <v>0</v>
      </c>
      <c r="EC229" s="399">
        <v>-4144.6772257582934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232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231</v>
      </c>
      <c r="B230" s="399" t="s">
        <v>2330</v>
      </c>
      <c r="C230" s="399" t="s">
        <v>2328</v>
      </c>
      <c r="D230" s="399" t="s">
        <v>1821</v>
      </c>
      <c r="E230" s="399" t="s">
        <v>889</v>
      </c>
      <c r="F230" s="399" t="s">
        <v>889</v>
      </c>
      <c r="G230" s="399" t="s">
        <v>1239</v>
      </c>
      <c r="H230" s="399" t="s">
        <v>1239</v>
      </c>
      <c r="I230" s="399" t="s">
        <v>1239</v>
      </c>
      <c r="J230" s="399" t="s">
        <v>2326</v>
      </c>
      <c r="K230" s="788">
        <v>44774</v>
      </c>
      <c r="L230" s="399">
        <v>0</v>
      </c>
      <c r="M230" s="399">
        <v>0</v>
      </c>
      <c r="N230" s="399">
        <v>0.1</v>
      </c>
      <c r="O230" s="399">
        <v>0.1</v>
      </c>
      <c r="P230" s="399">
        <v>0.1</v>
      </c>
      <c r="Q230" s="399">
        <v>0.1</v>
      </c>
      <c r="R230" s="399"/>
      <c r="S230" s="399">
        <v>395.23</v>
      </c>
      <c r="T230" s="399">
        <v>297.72000000000003</v>
      </c>
      <c r="U230" s="399"/>
      <c r="V230" s="399">
        <v>69.295000000000016</v>
      </c>
      <c r="W230" s="399">
        <v>69.295000000000016</v>
      </c>
      <c r="X230" s="399">
        <v>61.414999999999999</v>
      </c>
      <c r="Y230" s="399">
        <v>0</v>
      </c>
      <c r="Z230" s="399">
        <v>6.0611618320545801</v>
      </c>
      <c r="AA230" s="399">
        <v>0</v>
      </c>
      <c r="AB230" s="399">
        <v>0</v>
      </c>
      <c r="AC230" s="399">
        <v>0</v>
      </c>
      <c r="AD230" s="399">
        <v>9.9397503176486204</v>
      </c>
      <c r="AE230" s="399">
        <v>20.014480700270703</v>
      </c>
      <c r="AF230" s="399">
        <v>29.772385697618201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0.937088740521968</v>
      </c>
      <c r="AM230" s="399"/>
      <c r="AN230" s="399">
        <v>8.9038693639794997E-2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2.4813803540402901</v>
      </c>
      <c r="BH230" s="399">
        <v>0</v>
      </c>
      <c r="BI230" s="399">
        <v>0</v>
      </c>
      <c r="BJ230" s="399">
        <v>0</v>
      </c>
      <c r="BK230" s="399">
        <v>28.6</v>
      </c>
      <c r="BL230" s="399">
        <v>1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32.253766051658488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61.414999999999999</v>
      </c>
      <c r="CJ230" s="399">
        <v>-7.9100000000000037</v>
      </c>
      <c r="CK230" s="399"/>
      <c r="CL230" s="399"/>
      <c r="CM230" s="399"/>
      <c r="CN230" s="399"/>
      <c r="CO230" s="399">
        <v>-9.1580000000000048</v>
      </c>
      <c r="CP230" s="399">
        <v>1.2779999999999974</v>
      </c>
      <c r="CQ230" s="399">
        <v>31</v>
      </c>
      <c r="CR230" s="399">
        <v>2.4663972578952951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-7.6601170972748989E-2</v>
      </c>
      <c r="DA230" s="399">
        <v>0</v>
      </c>
      <c r="DB230" s="399">
        <v>0</v>
      </c>
      <c r="DC230" s="399">
        <v>1.2775444783405021</v>
      </c>
      <c r="DD230" s="399">
        <v>0</v>
      </c>
      <c r="DE230" s="399">
        <v>0</v>
      </c>
      <c r="DF230" s="399">
        <v>0</v>
      </c>
      <c r="DG230" s="399">
        <v>0.10647698179660026</v>
      </c>
      <c r="DH230" s="399">
        <v>0</v>
      </c>
      <c r="DI230" s="399">
        <v>1.0118921636870795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0.13647115336055216</v>
      </c>
      <c r="DP230" s="399">
        <v>1.0613651683315017E-2</v>
      </c>
      <c r="DQ230" s="399">
        <v>0</v>
      </c>
      <c r="DR230" s="399">
        <v>0</v>
      </c>
      <c r="DS230" s="399"/>
      <c r="DT230" s="399"/>
      <c r="DU230" s="399"/>
      <c r="DV230" s="399">
        <v>20.014480700270703</v>
      </c>
      <c r="DW230" s="399">
        <v>0</v>
      </c>
      <c r="DX230" s="399">
        <v>0</v>
      </c>
      <c r="DY230" s="399">
        <v>-9.1580000000000048</v>
      </c>
      <c r="DZ230" s="399">
        <v>1.2779999999999951</v>
      </c>
      <c r="EA230" s="399">
        <v>0</v>
      </c>
      <c r="EB230" s="399">
        <v>0</v>
      </c>
      <c r="EC230" s="399">
        <v>-10.347206974631252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232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232</v>
      </c>
      <c r="B231" s="399" t="s">
        <v>956</v>
      </c>
      <c r="C231" s="399" t="s">
        <v>2328</v>
      </c>
      <c r="D231" s="399" t="s">
        <v>1821</v>
      </c>
      <c r="E231" s="399" t="s">
        <v>889</v>
      </c>
      <c r="F231" s="399" t="s">
        <v>2331</v>
      </c>
      <c r="G231" s="399" t="s">
        <v>1239</v>
      </c>
      <c r="H231" s="399" t="s">
        <v>1239</v>
      </c>
      <c r="I231" s="399" t="s">
        <v>1239</v>
      </c>
      <c r="J231" s="399" t="s">
        <v>2326</v>
      </c>
      <c r="K231" s="788">
        <v>44774</v>
      </c>
      <c r="L231" s="399">
        <v>0</v>
      </c>
      <c r="M231" s="399">
        <v>0</v>
      </c>
      <c r="N231" s="399">
        <v>0.3</v>
      </c>
      <c r="O231" s="399">
        <v>0.3</v>
      </c>
      <c r="P231" s="399">
        <v>0.3</v>
      </c>
      <c r="Q231" s="399">
        <v>0.3</v>
      </c>
      <c r="R231" s="399"/>
      <c r="S231" s="399">
        <v>325.25</v>
      </c>
      <c r="T231" s="399">
        <v>297.72000000000003</v>
      </c>
      <c r="U231" s="399"/>
      <c r="V231" s="399">
        <v>186.89100000000002</v>
      </c>
      <c r="W231" s="399">
        <v>186.89100000000002</v>
      </c>
      <c r="X231" s="399">
        <v>159.80399999999997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29.819250952945858</v>
      </c>
      <c r="AE231" s="399">
        <v>60.043442100812101</v>
      </c>
      <c r="AF231" s="399">
        <v>89.3171570928546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0.26711608091938499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7.4441410621208703</v>
      </c>
      <c r="BH231" s="399">
        <v>0</v>
      </c>
      <c r="BI231" s="399">
        <v>0</v>
      </c>
      <c r="BJ231" s="399">
        <v>0</v>
      </c>
      <c r="BK231" s="399">
        <v>7.4</v>
      </c>
      <c r="BL231" s="399">
        <v>2</v>
      </c>
      <c r="BM231" s="399"/>
      <c r="BN231" s="399"/>
      <c r="BO231" s="399"/>
      <c r="BP231" s="399"/>
      <c r="BQ231" s="399"/>
      <c r="BR231" s="399"/>
      <c r="BS231" s="399"/>
      <c r="BT231" s="399">
        <v>103.875</v>
      </c>
      <c r="BU231" s="399"/>
      <c r="BV231" s="399">
        <v>96.761298154975464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55.929000000000002</v>
      </c>
      <c r="CJ231" s="399">
        <v>-9.512999999999991</v>
      </c>
      <c r="CK231" s="399"/>
      <c r="CL231" s="399"/>
      <c r="CM231" s="399"/>
      <c r="CN231" s="399"/>
      <c r="CO231" s="399">
        <v>-30.920999999999996</v>
      </c>
      <c r="CP231" s="399">
        <v>3.8339999999999916</v>
      </c>
      <c r="CQ231" s="399">
        <v>31</v>
      </c>
      <c r="CR231" s="399">
        <v>3.9541018225430093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-0.22980351291824874</v>
      </c>
      <c r="DA231" s="399">
        <v>0</v>
      </c>
      <c r="DB231" s="399">
        <v>0</v>
      </c>
      <c r="DC231" s="399">
        <v>3.8326334350215063</v>
      </c>
      <c r="DD231" s="399">
        <v>0</v>
      </c>
      <c r="DE231" s="399">
        <v>0</v>
      </c>
      <c r="DF231" s="399">
        <v>0</v>
      </c>
      <c r="DG231" s="399">
        <v>0.31943094538979899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0</v>
      </c>
      <c r="DP231" s="399">
        <v>3.1840955049944997E-2</v>
      </c>
      <c r="DQ231" s="399">
        <v>0</v>
      </c>
      <c r="DR231" s="399">
        <v>0</v>
      </c>
      <c r="DS231" s="399"/>
      <c r="DT231" s="399"/>
      <c r="DU231" s="399"/>
      <c r="DV231" s="399">
        <v>60.043442100812101</v>
      </c>
      <c r="DW231" s="399">
        <v>0</v>
      </c>
      <c r="DX231" s="399">
        <v>0</v>
      </c>
      <c r="DY231" s="399">
        <v>-30.921000000000006</v>
      </c>
      <c r="DZ231" s="399">
        <v>3.833999999999989</v>
      </c>
      <c r="EA231" s="399">
        <v>0</v>
      </c>
      <c r="EB231" s="399">
        <v>0</v>
      </c>
      <c r="EC231" s="399">
        <v>-31.041620923893753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232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233</v>
      </c>
      <c r="B232" s="399" t="s">
        <v>956</v>
      </c>
      <c r="C232" s="399" t="s">
        <v>2328</v>
      </c>
      <c r="D232" s="399" t="s">
        <v>1821</v>
      </c>
      <c r="E232" s="399" t="s">
        <v>889</v>
      </c>
      <c r="F232" s="399" t="s">
        <v>2332</v>
      </c>
      <c r="G232" s="399" t="s">
        <v>1239</v>
      </c>
      <c r="H232" s="399" t="s">
        <v>1239</v>
      </c>
      <c r="I232" s="399" t="s">
        <v>1239</v>
      </c>
      <c r="J232" s="399" t="s">
        <v>2326</v>
      </c>
      <c r="K232" s="788">
        <v>44774</v>
      </c>
      <c r="L232" s="399">
        <v>0</v>
      </c>
      <c r="M232" s="399">
        <v>0</v>
      </c>
      <c r="N232" s="399">
        <v>0.49399999999999999</v>
      </c>
      <c r="O232" s="399">
        <v>0.49399999999999999</v>
      </c>
      <c r="P232" s="399">
        <v>0.49399999999999999</v>
      </c>
      <c r="Q232" s="399">
        <v>0.49399999999999999</v>
      </c>
      <c r="R232" s="399"/>
      <c r="S232" s="399">
        <v>325.25</v>
      </c>
      <c r="T232" s="399">
        <v>297.72000000000003</v>
      </c>
      <c r="U232" s="399"/>
      <c r="V232" s="399">
        <v>307.74718000000001</v>
      </c>
      <c r="W232" s="399">
        <v>307.74718000000001</v>
      </c>
      <c r="X232" s="399">
        <v>263.14391999999998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49.102366569184184</v>
      </c>
      <c r="AE232" s="399">
        <v>98.871534659337257</v>
      </c>
      <c r="AF232" s="399">
        <v>147.07558534623391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0.43985114658058727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12.258018948959034</v>
      </c>
      <c r="BH232" s="399">
        <v>0</v>
      </c>
      <c r="BI232" s="399">
        <v>0</v>
      </c>
      <c r="BJ232" s="399">
        <v>0</v>
      </c>
      <c r="BK232" s="399">
        <v>20.89</v>
      </c>
      <c r="BL232" s="399">
        <v>1</v>
      </c>
      <c r="BM232" s="399"/>
      <c r="BN232" s="399"/>
      <c r="BO232" s="399"/>
      <c r="BP232" s="399"/>
      <c r="BQ232" s="399"/>
      <c r="BR232" s="399"/>
      <c r="BS232" s="399"/>
      <c r="BT232" s="399">
        <v>105.25657999999999</v>
      </c>
      <c r="BU232" s="399"/>
      <c r="BV232" s="399">
        <v>159.33360429519294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156.60890000000001</v>
      </c>
      <c r="CJ232" s="399">
        <v>-28.068420000000003</v>
      </c>
      <c r="CK232" s="399"/>
      <c r="CL232" s="399"/>
      <c r="CM232" s="399"/>
      <c r="CN232" s="399"/>
      <c r="CO232" s="399">
        <v>-50.916579999999996</v>
      </c>
      <c r="CP232" s="399">
        <v>6.3133199999999867</v>
      </c>
      <c r="CQ232" s="399">
        <v>31</v>
      </c>
      <c r="CR232" s="399">
        <v>6.5110876677874785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-0.37840978460538821</v>
      </c>
      <c r="DA232" s="399">
        <v>0</v>
      </c>
      <c r="DB232" s="399">
        <v>0</v>
      </c>
      <c r="DC232" s="399">
        <v>6.3110697230020776</v>
      </c>
      <c r="DD232" s="399">
        <v>0</v>
      </c>
      <c r="DE232" s="399">
        <v>0</v>
      </c>
      <c r="DF232" s="399">
        <v>0</v>
      </c>
      <c r="DG232" s="399">
        <v>0.52599629007520221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0</v>
      </c>
      <c r="DP232" s="399">
        <v>5.2431439315576145E-2</v>
      </c>
      <c r="DQ232" s="399">
        <v>0</v>
      </c>
      <c r="DR232" s="399">
        <v>0</v>
      </c>
      <c r="DS232" s="399"/>
      <c r="DT232" s="399"/>
      <c r="DU232" s="399"/>
      <c r="DV232" s="399">
        <v>98.871534659337257</v>
      </c>
      <c r="DW232" s="399">
        <v>0</v>
      </c>
      <c r="DX232" s="399">
        <v>0</v>
      </c>
      <c r="DY232" s="399">
        <v>-50.916579999999982</v>
      </c>
      <c r="DZ232" s="399">
        <v>6.3133199999999761</v>
      </c>
      <c r="EA232" s="399">
        <v>0</v>
      </c>
      <c r="EB232" s="399">
        <v>0</v>
      </c>
      <c r="EC232" s="399">
        <v>-51.115202454678375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232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234</v>
      </c>
      <c r="B233" s="399" t="s">
        <v>956</v>
      </c>
      <c r="C233" s="399" t="s">
        <v>2328</v>
      </c>
      <c r="D233" s="399" t="s">
        <v>1821</v>
      </c>
      <c r="E233" s="399" t="s">
        <v>889</v>
      </c>
      <c r="F233" s="399" t="s">
        <v>2333</v>
      </c>
      <c r="G233" s="399" t="s">
        <v>1239</v>
      </c>
      <c r="H233" s="399" t="s">
        <v>1239</v>
      </c>
      <c r="I233" s="399" t="s">
        <v>1239</v>
      </c>
      <c r="J233" s="399" t="s">
        <v>2326</v>
      </c>
      <c r="K233" s="788">
        <v>44774</v>
      </c>
      <c r="L233" s="399">
        <v>0</v>
      </c>
      <c r="M233" s="399">
        <v>0</v>
      </c>
      <c r="N233" s="399">
        <v>0.72499999999999998</v>
      </c>
      <c r="O233" s="399">
        <v>0.72499999999999998</v>
      </c>
      <c r="P233" s="399">
        <v>0.72499999999999998</v>
      </c>
      <c r="Q233" s="399">
        <v>0.72499999999999998</v>
      </c>
      <c r="R233" s="399"/>
      <c r="S233" s="399">
        <v>325.25</v>
      </c>
      <c r="T233" s="399">
        <v>297.72000000000003</v>
      </c>
      <c r="U233" s="399"/>
      <c r="V233" s="399">
        <v>451.65325000000001</v>
      </c>
      <c r="W233" s="399">
        <v>451.65325000000001</v>
      </c>
      <c r="X233" s="399">
        <v>386.19299999999998</v>
      </c>
      <c r="Y233" s="399">
        <v>0</v>
      </c>
      <c r="Z233" s="399">
        <v>0</v>
      </c>
      <c r="AA233" s="399">
        <v>0</v>
      </c>
      <c r="AB233" s="399">
        <v>0</v>
      </c>
      <c r="AC233" s="399">
        <v>0</v>
      </c>
      <c r="AD233" s="399">
        <v>72.063189802952493</v>
      </c>
      <c r="AE233" s="399">
        <v>145.10498507696258</v>
      </c>
      <c r="AF233" s="399">
        <v>215.84979630773194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0</v>
      </c>
      <c r="AM233" s="399"/>
      <c r="AN233" s="399">
        <v>0.6455305288885137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17.990007566792102</v>
      </c>
      <c r="BH233" s="399">
        <v>0</v>
      </c>
      <c r="BI233" s="399">
        <v>0</v>
      </c>
      <c r="BJ233" s="399">
        <v>0</v>
      </c>
      <c r="BK233" s="399">
        <v>59.23</v>
      </c>
      <c r="BL233" s="399">
        <v>1</v>
      </c>
      <c r="BM233" s="399"/>
      <c r="BN233" s="399"/>
      <c r="BO233" s="399"/>
      <c r="BP233" s="399"/>
      <c r="BQ233" s="399"/>
      <c r="BR233" s="399"/>
      <c r="BS233" s="399"/>
      <c r="BT233" s="399">
        <v>38.620750000000001</v>
      </c>
      <c r="BU233" s="399"/>
      <c r="BV233" s="399">
        <v>233.83980387452402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349.96929999999998</v>
      </c>
      <c r="CJ233" s="399">
        <v>-56.546449999999993</v>
      </c>
      <c r="CK233" s="399"/>
      <c r="CL233" s="399"/>
      <c r="CM233" s="399"/>
      <c r="CN233" s="399"/>
      <c r="CO233" s="399">
        <v>-74.725749999999991</v>
      </c>
      <c r="CP233" s="399">
        <v>9.2654999999999799</v>
      </c>
      <c r="CQ233" s="399">
        <v>31</v>
      </c>
      <c r="CR233" s="399">
        <v>9.5557460711455633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-0.55535848955243239</v>
      </c>
      <c r="DA233" s="399">
        <v>0</v>
      </c>
      <c r="DB233" s="399">
        <v>0</v>
      </c>
      <c r="DC233" s="399">
        <v>9.2621974679686332</v>
      </c>
      <c r="DD233" s="399">
        <v>0</v>
      </c>
      <c r="DE233" s="399">
        <v>0</v>
      </c>
      <c r="DF233" s="399">
        <v>0</v>
      </c>
      <c r="DG233" s="399">
        <v>0.77195811802534919</v>
      </c>
      <c r="DH233" s="399">
        <v>0</v>
      </c>
      <c r="DI233" s="399">
        <v>0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0</v>
      </c>
      <c r="DP233" s="399">
        <v>7.6948974704033835E-2</v>
      </c>
      <c r="DQ233" s="399">
        <v>0</v>
      </c>
      <c r="DR233" s="399">
        <v>0</v>
      </c>
      <c r="DS233" s="399"/>
      <c r="DT233" s="399"/>
      <c r="DU233" s="399"/>
      <c r="DV233" s="399">
        <v>145.10498507696258</v>
      </c>
      <c r="DW233" s="399">
        <v>0</v>
      </c>
      <c r="DX233" s="399">
        <v>0</v>
      </c>
      <c r="DY233" s="399">
        <v>-74.725750000000005</v>
      </c>
      <c r="DZ233" s="399">
        <v>9.2654999999999745</v>
      </c>
      <c r="EA233" s="399">
        <v>0</v>
      </c>
      <c r="EB233" s="399">
        <v>0</v>
      </c>
      <c r="EC233" s="399">
        <v>-75.017250566076569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232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235</v>
      </c>
      <c r="B234" s="399" t="s">
        <v>956</v>
      </c>
      <c r="C234" s="399" t="s">
        <v>2328</v>
      </c>
      <c r="D234" s="399" t="s">
        <v>1821</v>
      </c>
      <c r="E234" s="399" t="s">
        <v>889</v>
      </c>
      <c r="F234" s="399" t="s">
        <v>2334</v>
      </c>
      <c r="G234" s="399" t="s">
        <v>1239</v>
      </c>
      <c r="H234" s="399" t="s">
        <v>1239</v>
      </c>
      <c r="I234" s="399" t="s">
        <v>1239</v>
      </c>
      <c r="J234" s="399" t="s">
        <v>2326</v>
      </c>
      <c r="K234" s="788">
        <v>44774</v>
      </c>
      <c r="L234" s="399">
        <v>0</v>
      </c>
      <c r="M234" s="399">
        <v>0</v>
      </c>
      <c r="N234" s="399">
        <v>0.42599999999999999</v>
      </c>
      <c r="O234" s="399">
        <v>0.42599999999999999</v>
      </c>
      <c r="P234" s="399">
        <v>0.42599999999999999</v>
      </c>
      <c r="Q234" s="399">
        <v>0.42599999999999999</v>
      </c>
      <c r="R234" s="399"/>
      <c r="S234" s="399">
        <v>325.25</v>
      </c>
      <c r="T234" s="399">
        <v>297.72000000000003</v>
      </c>
      <c r="U234" s="399"/>
      <c r="V234" s="399">
        <v>265.38522</v>
      </c>
      <c r="W234" s="399">
        <v>265.38522</v>
      </c>
      <c r="X234" s="399">
        <v>226.92167999999998</v>
      </c>
      <c r="Y234" s="399">
        <v>0</v>
      </c>
      <c r="Z234" s="399">
        <v>0</v>
      </c>
      <c r="AA234" s="399">
        <v>0</v>
      </c>
      <c r="AB234" s="399">
        <v>0</v>
      </c>
      <c r="AC234" s="399">
        <v>0</v>
      </c>
      <c r="AD234" s="399">
        <v>42.343336353183119</v>
      </c>
      <c r="AE234" s="399">
        <v>85.261687783153178</v>
      </c>
      <c r="AF234" s="399">
        <v>126.83036307185353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0</v>
      </c>
      <c r="AM234" s="399"/>
      <c r="AN234" s="399">
        <v>0.37930483490552669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10.570680308211635</v>
      </c>
      <c r="BH234" s="399">
        <v>0</v>
      </c>
      <c r="BI234" s="399">
        <v>0</v>
      </c>
      <c r="BJ234" s="399">
        <v>0</v>
      </c>
      <c r="BK234" s="399">
        <v>45.05</v>
      </c>
      <c r="BL234" s="399">
        <v>6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137.40104338006518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229.05239999999998</v>
      </c>
      <c r="CJ234" s="399">
        <v>-36.362819999999999</v>
      </c>
      <c r="CK234" s="399"/>
      <c r="CL234" s="399"/>
      <c r="CM234" s="399"/>
      <c r="CN234" s="399"/>
      <c r="CO234" s="399">
        <v>-43.907819999999994</v>
      </c>
      <c r="CP234" s="399">
        <v>5.4442799999999885</v>
      </c>
      <c r="CQ234" s="399">
        <v>31</v>
      </c>
      <c r="CR234" s="399">
        <v>5.6148245880110323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-0.32632098834391599</v>
      </c>
      <c r="DA234" s="399">
        <v>0</v>
      </c>
      <c r="DB234" s="399">
        <v>0</v>
      </c>
      <c r="DC234" s="399">
        <v>5.4423394777305418</v>
      </c>
      <c r="DD234" s="399">
        <v>0</v>
      </c>
      <c r="DE234" s="399">
        <v>0</v>
      </c>
      <c r="DF234" s="399">
        <v>0</v>
      </c>
      <c r="DG234" s="399">
        <v>0.45359194245351553</v>
      </c>
      <c r="DH234" s="399">
        <v>0</v>
      </c>
      <c r="DI234" s="399">
        <v>0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0</v>
      </c>
      <c r="DP234" s="399">
        <v>4.5214156170921893E-2</v>
      </c>
      <c r="DQ234" s="399">
        <v>0</v>
      </c>
      <c r="DR234" s="399">
        <v>0</v>
      </c>
      <c r="DS234" s="399"/>
      <c r="DT234" s="399"/>
      <c r="DU234" s="399"/>
      <c r="DV234" s="399">
        <v>85.261687783153178</v>
      </c>
      <c r="DW234" s="399">
        <v>0</v>
      </c>
      <c r="DX234" s="399">
        <v>0</v>
      </c>
      <c r="DY234" s="399">
        <v>-43.907820000000001</v>
      </c>
      <c r="DZ234" s="399">
        <v>5.444279999999992</v>
      </c>
      <c r="EA234" s="399">
        <v>0</v>
      </c>
      <c r="EB234" s="399">
        <v>0</v>
      </c>
      <c r="EC234" s="399">
        <v>-44.07910171192912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232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236</v>
      </c>
      <c r="B235" s="399" t="s">
        <v>956</v>
      </c>
      <c r="C235" s="399" t="s">
        <v>2328</v>
      </c>
      <c r="D235" s="399" t="s">
        <v>1824</v>
      </c>
      <c r="E235" s="399" t="s">
        <v>890</v>
      </c>
      <c r="F235" s="399" t="s">
        <v>1239</v>
      </c>
      <c r="G235" s="399" t="s">
        <v>1239</v>
      </c>
      <c r="H235" s="399" t="s">
        <v>1239</v>
      </c>
      <c r="I235" s="399" t="s">
        <v>1239</v>
      </c>
      <c r="J235" s="399" t="s">
        <v>2326</v>
      </c>
      <c r="K235" s="788">
        <v>44774</v>
      </c>
      <c r="L235" s="399">
        <v>0</v>
      </c>
      <c r="M235" s="399">
        <v>0</v>
      </c>
      <c r="N235" s="399">
        <v>0.22600000000000001</v>
      </c>
      <c r="O235" s="399">
        <v>0.22600000000000001</v>
      </c>
      <c r="P235" s="399">
        <v>0.22600000000000001</v>
      </c>
      <c r="Q235" s="399">
        <v>0.22600000000000001</v>
      </c>
      <c r="R235" s="399"/>
      <c r="S235" s="399">
        <v>395.23</v>
      </c>
      <c r="T235" s="399">
        <v>297.72000000000003</v>
      </c>
      <c r="U235" s="399"/>
      <c r="V235" s="399">
        <v>156.60670000000002</v>
      </c>
      <c r="W235" s="399">
        <v>156.60670000000002</v>
      </c>
      <c r="X235" s="399">
        <v>138.7979</v>
      </c>
      <c r="Y235" s="399">
        <v>0</v>
      </c>
      <c r="Z235" s="399">
        <v>13.698225740443352</v>
      </c>
      <c r="AA235" s="399">
        <v>0</v>
      </c>
      <c r="AB235" s="399">
        <v>0</v>
      </c>
      <c r="AC235" s="399">
        <v>0</v>
      </c>
      <c r="AD235" s="399">
        <v>22.463835717885882</v>
      </c>
      <c r="AE235" s="399">
        <v>45.232726382611787</v>
      </c>
      <c r="AF235" s="399">
        <v>67.28559167661713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2.1178205535796475</v>
      </c>
      <c r="AM235" s="399"/>
      <c r="AN235" s="399">
        <v>0.2012274476259367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5.6079196001310558</v>
      </c>
      <c r="BH235" s="399">
        <v>0</v>
      </c>
      <c r="BI235" s="399">
        <v>0</v>
      </c>
      <c r="BJ235" s="399">
        <v>0</v>
      </c>
      <c r="BK235" s="399">
        <v>27.55</v>
      </c>
      <c r="BL235" s="399">
        <v>2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72.893511276748185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141.25450000000001</v>
      </c>
      <c r="CJ235" s="399">
        <v>-15.382200000000012</v>
      </c>
      <c r="CK235" s="399"/>
      <c r="CL235" s="399"/>
      <c r="CM235" s="399"/>
      <c r="CN235" s="399"/>
      <c r="CO235" s="399">
        <v>-20.69708000000001</v>
      </c>
      <c r="CP235" s="399">
        <v>2.8882799999999937</v>
      </c>
      <c r="CQ235" s="399">
        <v>31</v>
      </c>
      <c r="CR235" s="399">
        <v>5.5740578028433703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-0.17311864639841446</v>
      </c>
      <c r="DA235" s="399">
        <v>0</v>
      </c>
      <c r="DB235" s="399">
        <v>0</v>
      </c>
      <c r="DC235" s="399">
        <v>2.8872505210495376</v>
      </c>
      <c r="DD235" s="399">
        <v>0</v>
      </c>
      <c r="DE235" s="399">
        <v>0</v>
      </c>
      <c r="DF235" s="399">
        <v>0</v>
      </c>
      <c r="DG235" s="399">
        <v>0.2406379788603159</v>
      </c>
      <c r="DH235" s="399">
        <v>0</v>
      </c>
      <c r="DI235" s="399">
        <v>2.286876289932799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0.30842480659484783</v>
      </c>
      <c r="DP235" s="399">
        <v>2.3986852804291914E-2</v>
      </c>
      <c r="DQ235" s="399">
        <v>0</v>
      </c>
      <c r="DR235" s="399">
        <v>0</v>
      </c>
      <c r="DS235" s="399"/>
      <c r="DT235" s="399"/>
      <c r="DU235" s="399"/>
      <c r="DV235" s="399">
        <v>45.232726382611787</v>
      </c>
      <c r="DW235" s="399">
        <v>0</v>
      </c>
      <c r="DX235" s="399">
        <v>0</v>
      </c>
      <c r="DY235" s="399">
        <v>-20.697080000000014</v>
      </c>
      <c r="DZ235" s="399">
        <v>2.8882799999999946</v>
      </c>
      <c r="EA235" s="399">
        <v>0</v>
      </c>
      <c r="EB235" s="399">
        <v>0</v>
      </c>
      <c r="EC235" s="399">
        <v>-23.38468776266663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232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237</v>
      </c>
      <c r="B236" s="399" t="s">
        <v>956</v>
      </c>
      <c r="C236" s="399" t="s">
        <v>2343</v>
      </c>
      <c r="D236" s="399" t="s">
        <v>533</v>
      </c>
      <c r="E236" s="399" t="s">
        <v>890</v>
      </c>
      <c r="F236" s="399" t="s">
        <v>1239</v>
      </c>
      <c r="G236" s="399" t="s">
        <v>1239</v>
      </c>
      <c r="H236" s="399" t="s">
        <v>1239</v>
      </c>
      <c r="I236" s="399" t="s">
        <v>893</v>
      </c>
      <c r="J236" s="399" t="s">
        <v>2326</v>
      </c>
      <c r="K236" s="788">
        <v>44774</v>
      </c>
      <c r="L236" s="399">
        <v>715</v>
      </c>
      <c r="M236" s="399">
        <v>715</v>
      </c>
      <c r="N236" s="399">
        <v>31.896000000000001</v>
      </c>
      <c r="O236" s="399">
        <v>31.896000000000001</v>
      </c>
      <c r="P236" s="399">
        <v>31.896000000000001</v>
      </c>
      <c r="Q236" s="399">
        <v>31.896000000000001</v>
      </c>
      <c r="R236" s="399">
        <v>78.569999999999993</v>
      </c>
      <c r="S236" s="399">
        <v>72.290000000000006</v>
      </c>
      <c r="T236" s="399">
        <v>297.72000000000003</v>
      </c>
      <c r="U236" s="399">
        <v>56177.549999999996</v>
      </c>
      <c r="V236" s="399">
        <v>11801.838960000001</v>
      </c>
      <c r="W236" s="399">
        <v>67979.388959999997</v>
      </c>
      <c r="X236" s="399">
        <v>50787.362239999995</v>
      </c>
      <c r="Y236" s="399">
        <v>0</v>
      </c>
      <c r="Z236" s="399">
        <v>1681.9433148183537</v>
      </c>
      <c r="AA236" s="399">
        <v>0</v>
      </c>
      <c r="AB236" s="399">
        <v>0</v>
      </c>
      <c r="AC236" s="399">
        <v>0</v>
      </c>
      <c r="AD236" s="399">
        <v>21794.517656357159</v>
      </c>
      <c r="AE236" s="399">
        <v>34384.966773572196</v>
      </c>
      <c r="AF236" s="399">
        <v>9496.2001421123005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298.89382467688694</v>
      </c>
      <c r="AM236" s="399"/>
      <c r="AN236" s="399">
        <v>19.231814523762893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305.57811810631279</v>
      </c>
      <c r="BH236" s="399">
        <v>0</v>
      </c>
      <c r="BI236" s="399">
        <v>0</v>
      </c>
      <c r="BJ236" s="399">
        <v>0</v>
      </c>
      <c r="BK236" s="399">
        <v>0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9801.7782602186126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50788.935999999994</v>
      </c>
      <c r="CJ236" s="399">
        <v>-17190.482960000001</v>
      </c>
      <c r="CK236" s="399"/>
      <c r="CL236" s="399"/>
      <c r="CM236" s="399"/>
      <c r="CN236" s="399"/>
      <c r="CO236" s="399">
        <v>-17599.657599999999</v>
      </c>
      <c r="CP236" s="399">
        <v>407.63087999999914</v>
      </c>
      <c r="CQ236" s="399">
        <v>31</v>
      </c>
      <c r="CR236" s="399">
        <v>579.25408827824867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-167.96051408843778</v>
      </c>
      <c r="DA236" s="399">
        <v>0</v>
      </c>
      <c r="DB236" s="399">
        <v>0</v>
      </c>
      <c r="DC236" s="399">
        <v>407.48558681148643</v>
      </c>
      <c r="DD236" s="399">
        <v>0</v>
      </c>
      <c r="DE236" s="399">
        <v>0</v>
      </c>
      <c r="DF236" s="399">
        <v>0</v>
      </c>
      <c r="DG236" s="399">
        <v>13.112474138060577</v>
      </c>
      <c r="DH236" s="399">
        <v>0</v>
      </c>
      <c r="DI236" s="399">
        <v>280.79521834077605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43.528839075881649</v>
      </c>
      <c r="DP236" s="399">
        <v>2.2924840004852314</v>
      </c>
      <c r="DQ236" s="399">
        <v>0</v>
      </c>
      <c r="DR236" s="399">
        <v>0</v>
      </c>
      <c r="DS236" s="399"/>
      <c r="DT236" s="399"/>
      <c r="DU236" s="399">
        <v>34384.966773572196</v>
      </c>
      <c r="DV236" s="399">
        <v>0</v>
      </c>
      <c r="DW236" s="399">
        <v>0</v>
      </c>
      <c r="DX236" s="399">
        <v>0</v>
      </c>
      <c r="DY236" s="399">
        <v>-17599.657599999999</v>
      </c>
      <c r="DZ236" s="399">
        <v>407.6308799999988</v>
      </c>
      <c r="EA236" s="399">
        <v>0</v>
      </c>
      <c r="EB236" s="399">
        <v>0</v>
      </c>
      <c r="EC236" s="399">
        <v>-17776.547558246544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232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238</v>
      </c>
      <c r="B237" s="399" t="s">
        <v>956</v>
      </c>
      <c r="C237" s="399" t="s">
        <v>2343</v>
      </c>
      <c r="D237" s="399" t="s">
        <v>533</v>
      </c>
      <c r="E237" s="399" t="s">
        <v>890</v>
      </c>
      <c r="F237" s="399" t="s">
        <v>1239</v>
      </c>
      <c r="G237" s="399" t="s">
        <v>1239</v>
      </c>
      <c r="H237" s="399" t="s">
        <v>1239</v>
      </c>
      <c r="I237" s="399" t="s">
        <v>2323</v>
      </c>
      <c r="J237" s="399" t="s">
        <v>2326</v>
      </c>
      <c r="K237" s="788">
        <v>44774</v>
      </c>
      <c r="L237" s="399">
        <v>715</v>
      </c>
      <c r="M237" s="399">
        <v>715</v>
      </c>
      <c r="N237" s="399">
        <v>214.732</v>
      </c>
      <c r="O237" s="399">
        <v>214.732</v>
      </c>
      <c r="P237" s="399">
        <v>214.732</v>
      </c>
      <c r="Q237" s="399">
        <v>214.732</v>
      </c>
      <c r="R237" s="399">
        <v>25.76</v>
      </c>
      <c r="S237" s="399">
        <v>72.290000000000006</v>
      </c>
      <c r="T237" s="399">
        <v>297.72000000000003</v>
      </c>
      <c r="U237" s="399">
        <v>18418.400000000001</v>
      </c>
      <c r="V237" s="399">
        <v>79452.98732</v>
      </c>
      <c r="W237" s="399">
        <v>97871.387320000009</v>
      </c>
      <c r="X237" s="399">
        <v>97868.958079999997</v>
      </c>
      <c r="Y237" s="399">
        <v>0</v>
      </c>
      <c r="Z237" s="399">
        <v>11323.271001930485</v>
      </c>
      <c r="AA237" s="399">
        <v>0</v>
      </c>
      <c r="AB237" s="399">
        <v>0</v>
      </c>
      <c r="AC237" s="399">
        <v>0</v>
      </c>
      <c r="AD237" s="399">
        <v>8809.0697848288128</v>
      </c>
      <c r="AE237" s="399">
        <v>9608.3573567757503</v>
      </c>
      <c r="AF237" s="399">
        <v>63930.83925620951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2012.2293942976323</v>
      </c>
      <c r="AM237" s="399"/>
      <c r="AN237" s="399">
        <v>129.4734761824885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2057.2297610109345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65988.069017220449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97868.171199999982</v>
      </c>
      <c r="CJ237" s="399">
        <v>-3.2461200000107056</v>
      </c>
      <c r="CK237" s="399"/>
      <c r="CL237" s="399"/>
      <c r="CM237" s="399"/>
      <c r="CN237" s="399"/>
      <c r="CO237" s="399">
        <v>-2746.7042000000042</v>
      </c>
      <c r="CP237" s="399">
        <v>2744.2749599999943</v>
      </c>
      <c r="CQ237" s="399">
        <v>31</v>
      </c>
      <c r="CR237" s="399">
        <v>4962.5515882192994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-67.88752625912457</v>
      </c>
      <c r="DA237" s="399">
        <v>0</v>
      </c>
      <c r="DB237" s="399">
        <v>0</v>
      </c>
      <c r="DC237" s="399">
        <v>2743.2968092301307</v>
      </c>
      <c r="DD237" s="399">
        <v>0</v>
      </c>
      <c r="DE237" s="399">
        <v>0</v>
      </c>
      <c r="DF237" s="399">
        <v>0</v>
      </c>
      <c r="DG237" s="399">
        <v>88.276517325496116</v>
      </c>
      <c r="DH237" s="399">
        <v>0</v>
      </c>
      <c r="DI237" s="399">
        <v>1890.3849644078091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293.04723703418063</v>
      </c>
      <c r="DP237" s="399">
        <v>15.433586480818747</v>
      </c>
      <c r="DQ237" s="399">
        <v>0</v>
      </c>
      <c r="DR237" s="399">
        <v>0</v>
      </c>
      <c r="DS237" s="399"/>
      <c r="DT237" s="399"/>
      <c r="DU237" s="399">
        <v>9608.3573567757503</v>
      </c>
      <c r="DV237" s="399">
        <v>0</v>
      </c>
      <c r="DW237" s="399">
        <v>0</v>
      </c>
      <c r="DX237" s="399">
        <v>0</v>
      </c>
      <c r="DY237" s="399">
        <v>-2746.7042000000038</v>
      </c>
      <c r="DZ237" s="399">
        <v>2744.2749599999879</v>
      </c>
      <c r="EA237" s="399">
        <v>0</v>
      </c>
      <c r="EB237" s="399">
        <v>0</v>
      </c>
      <c r="EC237" s="399">
        <v>-4967.3865510502392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232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239</v>
      </c>
      <c r="B238" s="399" t="s">
        <v>956</v>
      </c>
      <c r="C238" s="399" t="s">
        <v>2343</v>
      </c>
      <c r="D238" s="399" t="s">
        <v>533</v>
      </c>
      <c r="E238" s="399" t="s">
        <v>890</v>
      </c>
      <c r="F238" s="399" t="s">
        <v>1239</v>
      </c>
      <c r="G238" s="399" t="s">
        <v>1239</v>
      </c>
      <c r="H238" s="399" t="s">
        <v>1239</v>
      </c>
      <c r="I238" s="399" t="s">
        <v>1239</v>
      </c>
      <c r="J238" s="399" t="s">
        <v>2326</v>
      </c>
      <c r="K238" s="788">
        <v>44774</v>
      </c>
      <c r="L238" s="399">
        <v>0</v>
      </c>
      <c r="M238" s="399">
        <v>0</v>
      </c>
      <c r="N238" s="399">
        <v>0</v>
      </c>
      <c r="O238" s="399">
        <v>0</v>
      </c>
      <c r="P238" s="399">
        <v>0</v>
      </c>
      <c r="Q238" s="399">
        <v>0</v>
      </c>
      <c r="R238" s="399"/>
      <c r="S238" s="399"/>
      <c r="T238" s="399"/>
      <c r="U238" s="399"/>
      <c r="V238" s="399"/>
      <c r="W238" s="399"/>
      <c r="X238" s="399"/>
      <c r="Y238" s="399"/>
      <c r="Z238" s="399"/>
      <c r="AA238" s="399">
        <v>0</v>
      </c>
      <c r="AB238" s="399"/>
      <c r="AC238" s="399"/>
      <c r="AD238" s="399"/>
      <c r="AE238" s="399"/>
      <c r="AF238" s="399"/>
      <c r="AG238" s="399"/>
      <c r="AH238" s="399"/>
      <c r="AI238" s="399"/>
      <c r="AJ238" s="399"/>
      <c r="AK238" s="399"/>
      <c r="AL238" s="399"/>
      <c r="AM238" s="399"/>
      <c r="AN238" s="399"/>
      <c r="AO238" s="399"/>
      <c r="AP238" s="399"/>
      <c r="AQ238" s="399"/>
      <c r="AR238" s="399"/>
      <c r="AS238" s="399"/>
      <c r="AT238" s="399"/>
      <c r="AU238" s="399"/>
      <c r="AV238" s="399"/>
      <c r="AW238" s="399"/>
      <c r="AX238" s="399"/>
      <c r="AY238" s="399"/>
      <c r="AZ238" s="399">
        <v>0</v>
      </c>
      <c r="BA238" s="399"/>
      <c r="BB238" s="399"/>
      <c r="BC238" s="399"/>
      <c r="BD238" s="399"/>
      <c r="BE238" s="399"/>
      <c r="BF238" s="399"/>
      <c r="BG238" s="399"/>
      <c r="BH238" s="399"/>
      <c r="BI238" s="399">
        <v>0</v>
      </c>
      <c r="BJ238" s="399">
        <v>0</v>
      </c>
      <c r="BK238" s="399">
        <v>29396.639999999999</v>
      </c>
      <c r="BL238" s="399">
        <v>1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/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/>
      <c r="CJ238" s="399">
        <v>-0.03</v>
      </c>
      <c r="CK238" s="399"/>
      <c r="CL238" s="399"/>
      <c r="CM238" s="399"/>
      <c r="CN238" s="399"/>
      <c r="CO238" s="399">
        <v>0</v>
      </c>
      <c r="CP238" s="399">
        <v>0</v>
      </c>
      <c r="CQ238" s="399">
        <v>31</v>
      </c>
      <c r="CR238" s="399"/>
      <c r="CS238" s="399"/>
      <c r="CT238" s="399"/>
      <c r="CU238" s="399"/>
      <c r="CV238" s="399"/>
      <c r="CW238" s="399"/>
      <c r="CX238" s="399"/>
      <c r="CY238" s="399"/>
      <c r="CZ238" s="399"/>
      <c r="DA238" s="399"/>
      <c r="DB238" s="399"/>
      <c r="DC238" s="399"/>
      <c r="DD238" s="399"/>
      <c r="DE238" s="399"/>
      <c r="DF238" s="399"/>
      <c r="DG238" s="399"/>
      <c r="DH238" s="399"/>
      <c r="DI238" s="399"/>
      <c r="DJ238" s="399"/>
      <c r="DK238" s="399">
        <v>0</v>
      </c>
      <c r="DL238" s="399"/>
      <c r="DM238" s="399"/>
      <c r="DN238" s="399"/>
      <c r="DO238" s="399"/>
      <c r="DP238" s="399"/>
      <c r="DQ238" s="399"/>
      <c r="DR238" s="399"/>
      <c r="DS238" s="399"/>
      <c r="DT238" s="399"/>
      <c r="DU238" s="399"/>
      <c r="DV238" s="399"/>
      <c r="DW238" s="399"/>
      <c r="DX238" s="399"/>
      <c r="DY238" s="399"/>
      <c r="DZ238" s="399"/>
      <c r="EA238" s="399"/>
      <c r="EB238" s="399"/>
      <c r="EC238" s="399"/>
      <c r="ED238" s="399"/>
      <c r="EE238" s="399"/>
      <c r="EF238" s="399"/>
      <c r="EG238" s="399"/>
      <c r="EH238" s="399"/>
      <c r="EI238" s="399"/>
      <c r="EJ238" s="399"/>
      <c r="EK238" s="399"/>
      <c r="EL238" s="399"/>
      <c r="EM238" s="399"/>
      <c r="EN238" s="399"/>
      <c r="EO238" s="399"/>
      <c r="EP238" s="399"/>
      <c r="EQ238" s="399"/>
      <c r="ER238" s="399"/>
      <c r="ES238" s="399"/>
      <c r="ET238" s="399"/>
      <c r="EU238" s="399"/>
      <c r="EV238" s="399">
        <v>232</v>
      </c>
      <c r="EW238" s="399"/>
      <c r="EX238" s="399"/>
      <c r="EY238" s="399"/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240</v>
      </c>
      <c r="B239" s="399" t="s">
        <v>956</v>
      </c>
      <c r="C239" s="399" t="s">
        <v>2325</v>
      </c>
      <c r="D239" s="399" t="s">
        <v>533</v>
      </c>
      <c r="E239" s="399" t="s">
        <v>890</v>
      </c>
      <c r="F239" s="399" t="s">
        <v>1239</v>
      </c>
      <c r="G239" s="399" t="s">
        <v>1239</v>
      </c>
      <c r="H239" s="399" t="s">
        <v>1239</v>
      </c>
      <c r="I239" s="399" t="s">
        <v>893</v>
      </c>
      <c r="J239" s="399" t="s">
        <v>2326</v>
      </c>
      <c r="K239" s="788">
        <v>44774</v>
      </c>
      <c r="L239" s="399">
        <v>0</v>
      </c>
      <c r="M239" s="399">
        <v>0</v>
      </c>
      <c r="N239" s="399">
        <v>56.726999999999997</v>
      </c>
      <c r="O239" s="399">
        <v>56.726999999999997</v>
      </c>
      <c r="P239" s="399">
        <v>56.726999999999997</v>
      </c>
      <c r="Q239" s="399">
        <v>56.726999999999997</v>
      </c>
      <c r="R239" s="399"/>
      <c r="S239" s="399">
        <v>1962.25</v>
      </c>
      <c r="T239" s="399">
        <v>297.72000000000003</v>
      </c>
      <c r="U239" s="399"/>
      <c r="V239" s="399">
        <v>128201.31819000001</v>
      </c>
      <c r="W239" s="399">
        <v>128201.31819000001</v>
      </c>
      <c r="X239" s="399">
        <v>95290.581869999995</v>
      </c>
      <c r="Y239" s="399">
        <v>0</v>
      </c>
      <c r="Z239" s="399">
        <v>2991.3342870485562</v>
      </c>
      <c r="AA239" s="399">
        <v>0</v>
      </c>
      <c r="AB239" s="399">
        <v>0</v>
      </c>
      <c r="AC239" s="399">
        <v>0</v>
      </c>
      <c r="AD239" s="399">
        <v>41602.529498226504</v>
      </c>
      <c r="AE239" s="399">
        <v>65609.682565105613</v>
      </c>
      <c r="AF239" s="399">
        <v>16888.981234687875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531.58232983589676</v>
      </c>
      <c r="AM239" s="399"/>
      <c r="AN239" s="399">
        <v>34.203760424175371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543.47033815578141</v>
      </c>
      <c r="BH239" s="399">
        <v>0</v>
      </c>
      <c r="BI239" s="399">
        <v>0</v>
      </c>
      <c r="BJ239" s="399">
        <v>0</v>
      </c>
      <c r="BK239" s="399">
        <v>0</v>
      </c>
      <c r="BL239" s="399">
        <v>0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17432.451572843656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95295.621299999984</v>
      </c>
      <c r="CJ239" s="399">
        <v>-32905.726890000005</v>
      </c>
      <c r="CK239" s="399"/>
      <c r="CL239" s="399"/>
      <c r="CM239" s="399"/>
      <c r="CN239" s="399"/>
      <c r="CO239" s="399">
        <v>-33635.70738</v>
      </c>
      <c r="CP239" s="399">
        <v>724.97105999999837</v>
      </c>
      <c r="CQ239" s="399">
        <v>31</v>
      </c>
      <c r="CR239" s="399">
        <v>1008.3084027937657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-320.61192415805272</v>
      </c>
      <c r="DA239" s="399">
        <v>0</v>
      </c>
      <c r="DB239" s="399">
        <v>0</v>
      </c>
      <c r="DC239" s="399">
        <v>724.71265622821738</v>
      </c>
      <c r="DD239" s="399">
        <v>0</v>
      </c>
      <c r="DE239" s="399">
        <v>0</v>
      </c>
      <c r="DF239" s="399">
        <v>0</v>
      </c>
      <c r="DG239" s="399">
        <v>23.320520454908547</v>
      </c>
      <c r="DH239" s="399">
        <v>0</v>
      </c>
      <c r="DI239" s="399">
        <v>499.39397889444444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77.415991166840286</v>
      </c>
      <c r="DP239" s="399">
        <v>4.0771802074092562</v>
      </c>
      <c r="DQ239" s="399">
        <v>0</v>
      </c>
      <c r="DR239" s="399">
        <v>0</v>
      </c>
      <c r="DS239" s="399"/>
      <c r="DT239" s="399"/>
      <c r="DU239" s="399"/>
      <c r="DV239" s="399">
        <v>65609.682565105613</v>
      </c>
      <c r="DW239" s="399">
        <v>0</v>
      </c>
      <c r="DX239" s="399">
        <v>0</v>
      </c>
      <c r="DY239" s="399">
        <v>-33635.707380000007</v>
      </c>
      <c r="DZ239" s="399">
        <v>724.97105999999621</v>
      </c>
      <c r="EA239" s="399">
        <v>0</v>
      </c>
      <c r="EB239" s="399">
        <v>0</v>
      </c>
      <c r="EC239" s="399">
        <v>-33919.289498818645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232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241</v>
      </c>
      <c r="B240" s="399" t="s">
        <v>956</v>
      </c>
      <c r="C240" s="399" t="s">
        <v>2325</v>
      </c>
      <c r="D240" s="399" t="s">
        <v>533</v>
      </c>
      <c r="E240" s="399" t="s">
        <v>890</v>
      </c>
      <c r="F240" s="399" t="s">
        <v>1239</v>
      </c>
      <c r="G240" s="399" t="s">
        <v>1239</v>
      </c>
      <c r="H240" s="399" t="s">
        <v>1239</v>
      </c>
      <c r="I240" s="399" t="s">
        <v>2323</v>
      </c>
      <c r="J240" s="399" t="s">
        <v>2326</v>
      </c>
      <c r="K240" s="788">
        <v>44774</v>
      </c>
      <c r="L240" s="399">
        <v>0</v>
      </c>
      <c r="M240" s="399">
        <v>0</v>
      </c>
      <c r="N240" s="399">
        <v>700.125</v>
      </c>
      <c r="O240" s="399">
        <v>700.125</v>
      </c>
      <c r="P240" s="399">
        <v>700.125</v>
      </c>
      <c r="Q240" s="399">
        <v>700.125</v>
      </c>
      <c r="R240" s="399"/>
      <c r="S240" s="399">
        <v>72.290000000000006</v>
      </c>
      <c r="T240" s="399">
        <v>297.72000000000003</v>
      </c>
      <c r="U240" s="399"/>
      <c r="V240" s="399">
        <v>259053.25125000003</v>
      </c>
      <c r="W240" s="399">
        <v>259053.25125000003</v>
      </c>
      <c r="X240" s="399">
        <v>275457.18</v>
      </c>
      <c r="Y240" s="399">
        <v>0</v>
      </c>
      <c r="Z240" s="399">
        <v>36919.06707070479</v>
      </c>
      <c r="AA240" s="399">
        <v>0</v>
      </c>
      <c r="AB240" s="399">
        <v>0</v>
      </c>
      <c r="AC240" s="399">
        <v>0</v>
      </c>
      <c r="AD240" s="399">
        <v>0</v>
      </c>
      <c r="AE240" s="399">
        <v>0</v>
      </c>
      <c r="AF240" s="399">
        <v>208443.91536544941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6560.7925445794281</v>
      </c>
      <c r="AM240" s="399"/>
      <c r="AN240" s="399">
        <v>422.14303183626458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6707.5144199643291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215151.42978541375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275459.14720000001</v>
      </c>
      <c r="CJ240" s="399">
        <v>16405.865949999948</v>
      </c>
      <c r="CK240" s="399"/>
      <c r="CL240" s="399"/>
      <c r="CM240" s="399"/>
      <c r="CN240" s="399"/>
      <c r="CO240" s="399">
        <v>7456.3312499999938</v>
      </c>
      <c r="CP240" s="399">
        <v>8947.5974999999817</v>
      </c>
      <c r="CQ240" s="399">
        <v>31</v>
      </c>
      <c r="CR240" s="399">
        <v>16401.543249372335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0</v>
      </c>
      <c r="DA240" s="399">
        <v>0</v>
      </c>
      <c r="DB240" s="399">
        <v>0</v>
      </c>
      <c r="DC240" s="399">
        <v>8944.4082789814565</v>
      </c>
      <c r="DD240" s="399">
        <v>0</v>
      </c>
      <c r="DE240" s="399">
        <v>0</v>
      </c>
      <c r="DF240" s="399">
        <v>0</v>
      </c>
      <c r="DG240" s="399">
        <v>287.82201391740909</v>
      </c>
      <c r="DH240" s="399">
        <v>0</v>
      </c>
      <c r="DI240" s="399">
        <v>6163.5237095822595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955.4686624655651</v>
      </c>
      <c r="DP240" s="399">
        <v>50.320584425624588</v>
      </c>
      <c r="DQ240" s="399">
        <v>0</v>
      </c>
      <c r="DR240" s="399">
        <v>0</v>
      </c>
      <c r="DS240" s="399"/>
      <c r="DT240" s="399"/>
      <c r="DU240" s="399"/>
      <c r="DV240" s="399">
        <v>0</v>
      </c>
      <c r="DW240" s="399">
        <v>0</v>
      </c>
      <c r="DX240" s="399">
        <v>0</v>
      </c>
      <c r="DY240" s="399">
        <v>7456.3312499999956</v>
      </c>
      <c r="DZ240" s="399">
        <v>8947.5974999999744</v>
      </c>
      <c r="EA240" s="399">
        <v>0</v>
      </c>
      <c r="EB240" s="399">
        <v>0</v>
      </c>
      <c r="EC240" s="399">
        <v>0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232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242</v>
      </c>
      <c r="B241" s="399" t="s">
        <v>956</v>
      </c>
      <c r="C241" s="399" t="s">
        <v>2325</v>
      </c>
      <c r="D241" s="399" t="s">
        <v>533</v>
      </c>
      <c r="E241" s="399" t="s">
        <v>890</v>
      </c>
      <c r="F241" s="399" t="s">
        <v>1239</v>
      </c>
      <c r="G241" s="399" t="s">
        <v>1239</v>
      </c>
      <c r="H241" s="399" t="s">
        <v>1239</v>
      </c>
      <c r="I241" s="399" t="s">
        <v>1239</v>
      </c>
      <c r="J241" s="399" t="s">
        <v>2326</v>
      </c>
      <c r="K241" s="788">
        <v>44774</v>
      </c>
      <c r="L241" s="399">
        <v>3050</v>
      </c>
      <c r="M241" s="399">
        <v>3050</v>
      </c>
      <c r="N241" s="399">
        <v>0</v>
      </c>
      <c r="O241" s="399">
        <v>0</v>
      </c>
      <c r="P241" s="399">
        <v>0</v>
      </c>
      <c r="Q241" s="399">
        <v>0</v>
      </c>
      <c r="R241" s="399">
        <v>25.76</v>
      </c>
      <c r="S241" s="399"/>
      <c r="T241" s="399"/>
      <c r="U241" s="399">
        <v>78568</v>
      </c>
      <c r="V241" s="399"/>
      <c r="W241" s="399">
        <v>78568</v>
      </c>
      <c r="X241" s="399">
        <v>57096</v>
      </c>
      <c r="Y241" s="399">
        <v>0</v>
      </c>
      <c r="Z241" s="399">
        <v>0</v>
      </c>
      <c r="AA241" s="399">
        <v>0</v>
      </c>
      <c r="AB241" s="399">
        <v>0</v>
      </c>
      <c r="AC241" s="399">
        <v>0</v>
      </c>
      <c r="AD241" s="399">
        <v>37577.150830388644</v>
      </c>
      <c r="AE241" s="399">
        <v>40986.699214218235</v>
      </c>
      <c r="AF241" s="399"/>
      <c r="AG241" s="399"/>
      <c r="AH241" s="399"/>
      <c r="AI241" s="399">
        <v>0</v>
      </c>
      <c r="AJ241" s="399">
        <v>0</v>
      </c>
      <c r="AK241" s="399">
        <v>0</v>
      </c>
      <c r="AL241" s="399">
        <v>0</v>
      </c>
      <c r="AM241" s="399"/>
      <c r="AN241" s="399">
        <v>0</v>
      </c>
      <c r="AO241" s="399">
        <v>0</v>
      </c>
      <c r="AP241" s="399">
        <v>0</v>
      </c>
      <c r="AQ241" s="399">
        <v>0</v>
      </c>
      <c r="AR241" s="399">
        <v>0</v>
      </c>
      <c r="AS241" s="399"/>
      <c r="AT241" s="399"/>
      <c r="AU241" s="399">
        <v>0</v>
      </c>
      <c r="AV241" s="399">
        <v>0</v>
      </c>
      <c r="AW241" s="399">
        <v>0</v>
      </c>
      <c r="AX241" s="399"/>
      <c r="AY241" s="399"/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/>
      <c r="BG241" s="399">
        <v>0</v>
      </c>
      <c r="BH241" s="399">
        <v>0</v>
      </c>
      <c r="BI241" s="399">
        <v>0</v>
      </c>
      <c r="BJ241" s="399">
        <v>0</v>
      </c>
      <c r="BK241" s="399">
        <v>83466.69</v>
      </c>
      <c r="BL241" s="399">
        <v>3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0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57096</v>
      </c>
      <c r="CJ241" s="399">
        <v>-21472.029999999984</v>
      </c>
      <c r="CK241" s="399"/>
      <c r="CL241" s="399"/>
      <c r="CM241" s="399"/>
      <c r="CN241" s="399"/>
      <c r="CO241" s="399">
        <v>-21472.000000000007</v>
      </c>
      <c r="CP241" s="399">
        <v>0</v>
      </c>
      <c r="CQ241" s="399">
        <v>31</v>
      </c>
      <c r="CR241" s="399">
        <v>-289.59014697948442</v>
      </c>
      <c r="CS241" s="399">
        <v>0</v>
      </c>
      <c r="CT241" s="399">
        <v>0</v>
      </c>
      <c r="CU241" s="399">
        <v>0</v>
      </c>
      <c r="CV241" s="399">
        <v>0</v>
      </c>
      <c r="CW241" s="399"/>
      <c r="CX241" s="399"/>
      <c r="CY241" s="399"/>
      <c r="CZ241" s="399">
        <v>-289.59014697948442</v>
      </c>
      <c r="DA241" s="399">
        <v>0</v>
      </c>
      <c r="DB241" s="399">
        <v>0</v>
      </c>
      <c r="DC241" s="399"/>
      <c r="DD241" s="399"/>
      <c r="DE241" s="399">
        <v>0</v>
      </c>
      <c r="DF241" s="399">
        <v>0</v>
      </c>
      <c r="DG241" s="399">
        <v>0</v>
      </c>
      <c r="DH241" s="399">
        <v>0</v>
      </c>
      <c r="DI241" s="399">
        <v>0</v>
      </c>
      <c r="DJ241" s="399"/>
      <c r="DK241" s="399">
        <v>0</v>
      </c>
      <c r="DL241" s="399">
        <v>0</v>
      </c>
      <c r="DM241" s="399"/>
      <c r="DN241" s="399">
        <v>0</v>
      </c>
      <c r="DO241" s="399">
        <v>0</v>
      </c>
      <c r="DP241" s="399">
        <v>0</v>
      </c>
      <c r="DQ241" s="399">
        <v>0</v>
      </c>
      <c r="DR241" s="399">
        <v>0</v>
      </c>
      <c r="DS241" s="399"/>
      <c r="DT241" s="399"/>
      <c r="DU241" s="399">
        <v>40986.699214218235</v>
      </c>
      <c r="DV241" s="399"/>
      <c r="DW241" s="399">
        <v>0</v>
      </c>
      <c r="DX241" s="399">
        <v>0</v>
      </c>
      <c r="DY241" s="399">
        <v>-21472</v>
      </c>
      <c r="DZ241" s="399"/>
      <c r="EA241" s="399">
        <v>0</v>
      </c>
      <c r="EB241" s="399"/>
      <c r="EC241" s="399">
        <v>-21189.551021962558</v>
      </c>
      <c r="ED241" s="399"/>
      <c r="EE241" s="399">
        <v>0</v>
      </c>
      <c r="EF241" s="399">
        <v>0</v>
      </c>
      <c r="EG241" s="399"/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/>
      <c r="EN241" s="399"/>
      <c r="EO241" s="399">
        <v>0</v>
      </c>
      <c r="EP241" s="399">
        <v>0</v>
      </c>
      <c r="EQ241" s="399"/>
      <c r="ER241" s="399">
        <v>0</v>
      </c>
      <c r="ES241" s="399"/>
      <c r="ET241" s="399">
        <v>0</v>
      </c>
      <c r="EU241" s="399"/>
      <c r="EV241" s="399">
        <v>232</v>
      </c>
      <c r="EW241" s="399"/>
      <c r="EX241" s="399"/>
      <c r="EY241" s="399"/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243</v>
      </c>
      <c r="B242" s="399" t="s">
        <v>956</v>
      </c>
      <c r="C242" s="399" t="s">
        <v>2328</v>
      </c>
      <c r="D242" s="399" t="s">
        <v>1824</v>
      </c>
      <c r="E242" s="399" t="s">
        <v>918</v>
      </c>
      <c r="F242" s="399" t="s">
        <v>1239</v>
      </c>
      <c r="G242" s="399" t="s">
        <v>1239</v>
      </c>
      <c r="H242" s="399" t="s">
        <v>1239</v>
      </c>
      <c r="I242" s="399" t="s">
        <v>1239</v>
      </c>
      <c r="J242" s="399" t="s">
        <v>2326</v>
      </c>
      <c r="K242" s="788">
        <v>44774</v>
      </c>
      <c r="L242" s="399">
        <v>0</v>
      </c>
      <c r="M242" s="399">
        <v>0</v>
      </c>
      <c r="N242" s="399">
        <v>21.457999999999998</v>
      </c>
      <c r="O242" s="399">
        <v>21.457999999999998</v>
      </c>
      <c r="P242" s="399">
        <v>21.457999999999998</v>
      </c>
      <c r="Q242" s="399">
        <v>21.457999999999998</v>
      </c>
      <c r="R242" s="399"/>
      <c r="S242" s="399">
        <v>395.23</v>
      </c>
      <c r="T242" s="399">
        <v>297.72000000000003</v>
      </c>
      <c r="U242" s="399"/>
      <c r="V242" s="399">
        <v>14869.321100000001</v>
      </c>
      <c r="W242" s="399">
        <v>14869.321100000001</v>
      </c>
      <c r="X242" s="399">
        <v>13178.430699999999</v>
      </c>
      <c r="Y242" s="399">
        <v>0</v>
      </c>
      <c r="Z242" s="399">
        <v>1300.6041059222716</v>
      </c>
      <c r="AA242" s="399">
        <v>0</v>
      </c>
      <c r="AB242" s="399">
        <v>0</v>
      </c>
      <c r="AC242" s="399">
        <v>0</v>
      </c>
      <c r="AD242" s="399">
        <v>2132.8716231610406</v>
      </c>
      <c r="AE242" s="399">
        <v>4294.7072686640868</v>
      </c>
      <c r="AF242" s="399">
        <v>6388.5585229949129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201.08050194120386</v>
      </c>
      <c r="AM242" s="399"/>
      <c r="AN242" s="399">
        <v>19.105922881227208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532.45459636996543</v>
      </c>
      <c r="BH242" s="399">
        <v>0</v>
      </c>
      <c r="BI242" s="399">
        <v>0</v>
      </c>
      <c r="BJ242" s="399">
        <v>0</v>
      </c>
      <c r="BK242" s="399">
        <v>2475.96</v>
      </c>
      <c r="BL242" s="399">
        <v>49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6921.0131193648785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13179.659</v>
      </c>
      <c r="CJ242" s="399">
        <v>-1689.692100000002</v>
      </c>
      <c r="CK242" s="399"/>
      <c r="CL242" s="399"/>
      <c r="CM242" s="399"/>
      <c r="CN242" s="399"/>
      <c r="CO242" s="399">
        <v>-1965.1236400000007</v>
      </c>
      <c r="CP242" s="399">
        <v>274.2332399999994</v>
      </c>
      <c r="CQ242" s="399">
        <v>31</v>
      </c>
      <c r="CR242" s="399">
        <v>529.2395235991753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-16.437079267332592</v>
      </c>
      <c r="DA242" s="399">
        <v>0</v>
      </c>
      <c r="DB242" s="399">
        <v>0</v>
      </c>
      <c r="DC242" s="399">
        <v>274.13549416230489</v>
      </c>
      <c r="DD242" s="399">
        <v>0</v>
      </c>
      <c r="DE242" s="399">
        <v>0</v>
      </c>
      <c r="DF242" s="399">
        <v>0</v>
      </c>
      <c r="DG242" s="399">
        <v>22.847830753914423</v>
      </c>
      <c r="DH242" s="399">
        <v>0</v>
      </c>
      <c r="DI242" s="399">
        <v>217.13182048397357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29.283980088107256</v>
      </c>
      <c r="DP242" s="399">
        <v>2.2774773782057345</v>
      </c>
      <c r="DQ242" s="399">
        <v>0</v>
      </c>
      <c r="DR242" s="399">
        <v>0</v>
      </c>
      <c r="DS242" s="399"/>
      <c r="DT242" s="399"/>
      <c r="DU242" s="399"/>
      <c r="DV242" s="399">
        <v>4294.7072686640868</v>
      </c>
      <c r="DW242" s="399">
        <v>0</v>
      </c>
      <c r="DX242" s="399">
        <v>0</v>
      </c>
      <c r="DY242" s="399">
        <v>-1965.1236400000007</v>
      </c>
      <c r="DZ242" s="399">
        <v>274.23323999999957</v>
      </c>
      <c r="EA242" s="399">
        <v>0</v>
      </c>
      <c r="EB242" s="399">
        <v>0</v>
      </c>
      <c r="EC242" s="399">
        <v>-2220.3036726163737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232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244</v>
      </c>
      <c r="B243" s="399" t="s">
        <v>956</v>
      </c>
      <c r="C243" s="399" t="s">
        <v>2328</v>
      </c>
      <c r="D243" s="399" t="s">
        <v>2335</v>
      </c>
      <c r="E243" s="399" t="s">
        <v>894</v>
      </c>
      <c r="F243" s="399" t="s">
        <v>1239</v>
      </c>
      <c r="G243" s="399" t="s">
        <v>1239</v>
      </c>
      <c r="H243" s="399" t="s">
        <v>1239</v>
      </c>
      <c r="I243" s="399" t="s">
        <v>1239</v>
      </c>
      <c r="J243" s="399" t="s">
        <v>2326</v>
      </c>
      <c r="K243" s="788">
        <v>44774</v>
      </c>
      <c r="L243" s="399">
        <v>0</v>
      </c>
      <c r="M243" s="399">
        <v>0</v>
      </c>
      <c r="N243" s="399">
        <v>433.69900000000001</v>
      </c>
      <c r="O243" s="399">
        <v>433.69900000000001</v>
      </c>
      <c r="P243" s="399">
        <v>433.69900000000001</v>
      </c>
      <c r="Q243" s="399">
        <v>433.69900000000001</v>
      </c>
      <c r="R243" s="399"/>
      <c r="S243" s="399">
        <v>395.23</v>
      </c>
      <c r="T243" s="399">
        <v>297.72000000000003</v>
      </c>
      <c r="U243" s="399"/>
      <c r="V243" s="399">
        <v>300531.72205000004</v>
      </c>
      <c r="W243" s="399">
        <v>300531.72205000004</v>
      </c>
      <c r="X243" s="399">
        <v>266356.24085</v>
      </c>
      <c r="Y243" s="399">
        <v>0</v>
      </c>
      <c r="Z243" s="399">
        <v>26287.198254002393</v>
      </c>
      <c r="AA243" s="399">
        <v>0</v>
      </c>
      <c r="AB243" s="399">
        <v>0</v>
      </c>
      <c r="AC243" s="399">
        <v>0</v>
      </c>
      <c r="AD243" s="399">
        <v>43108.597730138885</v>
      </c>
      <c r="AE243" s="399">
        <v>86802.602652267029</v>
      </c>
      <c r="AF243" s="399">
        <v>129122.53904671315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4064.1444967563698</v>
      </c>
      <c r="AM243" s="399"/>
      <c r="AN243" s="399">
        <v>386.15992392885454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10761.721781669197</v>
      </c>
      <c r="BH243" s="399">
        <v>0</v>
      </c>
      <c r="BI243" s="399">
        <v>0.4</v>
      </c>
      <c r="BJ243" s="399">
        <v>1.86</v>
      </c>
      <c r="BK243" s="399">
        <v>43979.59</v>
      </c>
      <c r="BL243" s="399">
        <v>939</v>
      </c>
      <c r="BM243" s="399"/>
      <c r="BN243" s="399"/>
      <c r="BO243" s="399"/>
      <c r="BP243" s="399"/>
      <c r="BQ243" s="399"/>
      <c r="BR243" s="399">
        <v>31963.616299999994</v>
      </c>
      <c r="BS243" s="399"/>
      <c r="BT243" s="399"/>
      <c r="BU243" s="399"/>
      <c r="BV243" s="399">
        <v>139884.26082838234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234393.16499999998</v>
      </c>
      <c r="CJ243" s="399">
        <v>-30076.515200000082</v>
      </c>
      <c r="CK243" s="399"/>
      <c r="CL243" s="399"/>
      <c r="CM243" s="399"/>
      <c r="CN243" s="399"/>
      <c r="CO243" s="399">
        <v>-39718.154420000021</v>
      </c>
      <c r="CP243" s="399">
        <v>5542.6732199999888</v>
      </c>
      <c r="CQ243" s="399">
        <v>31</v>
      </c>
      <c r="CR243" s="399">
        <v>10696.740243519336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-332.21851249710016</v>
      </c>
      <c r="DA243" s="399">
        <v>0</v>
      </c>
      <c r="DB243" s="399">
        <v>0</v>
      </c>
      <c r="DC243" s="399">
        <v>5540.6976271179738</v>
      </c>
      <c r="DD243" s="399">
        <v>0</v>
      </c>
      <c r="DE243" s="399">
        <v>0</v>
      </c>
      <c r="DF243" s="399">
        <v>0</v>
      </c>
      <c r="DG243" s="399">
        <v>461.78960528203606</v>
      </c>
      <c r="DH243" s="399">
        <v>0</v>
      </c>
      <c r="DI243" s="399">
        <v>4388.5661949892274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591.87402741318101</v>
      </c>
      <c r="DP243" s="399">
        <v>46.031301214020345</v>
      </c>
      <c r="DQ243" s="399">
        <v>0</v>
      </c>
      <c r="DR243" s="399">
        <v>0</v>
      </c>
      <c r="DS243" s="399"/>
      <c r="DT243" s="399"/>
      <c r="DU243" s="399"/>
      <c r="DV243" s="399">
        <v>86802.602652267029</v>
      </c>
      <c r="DW243" s="399">
        <v>0</v>
      </c>
      <c r="DX243" s="399">
        <v>0</v>
      </c>
      <c r="DY243" s="399">
        <v>-39718.154420000035</v>
      </c>
      <c r="DZ243" s="399">
        <v>5542.6732199999969</v>
      </c>
      <c r="EA243" s="399">
        <v>0</v>
      </c>
      <c r="EB243" s="399">
        <v>0</v>
      </c>
      <c r="EC243" s="399">
        <v>-44875.733176905989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232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245</v>
      </c>
      <c r="B244" s="399" t="s">
        <v>2330</v>
      </c>
      <c r="C244" s="399" t="s">
        <v>2328</v>
      </c>
      <c r="D244" s="399" t="s">
        <v>2335</v>
      </c>
      <c r="E244" s="399" t="s">
        <v>894</v>
      </c>
      <c r="F244" s="399" t="s">
        <v>1239</v>
      </c>
      <c r="G244" s="399" t="s">
        <v>1239</v>
      </c>
      <c r="H244" s="399" t="s">
        <v>1239</v>
      </c>
      <c r="I244" s="399" t="s">
        <v>1239</v>
      </c>
      <c r="J244" s="399" t="s">
        <v>2326</v>
      </c>
      <c r="K244" s="788">
        <v>44774</v>
      </c>
      <c r="L244" s="399">
        <v>0</v>
      </c>
      <c r="M244" s="399">
        <v>0</v>
      </c>
      <c r="N244" s="399">
        <v>30.49</v>
      </c>
      <c r="O244" s="399">
        <v>30.49</v>
      </c>
      <c r="P244" s="399">
        <v>30.49</v>
      </c>
      <c r="Q244" s="399">
        <v>30.49</v>
      </c>
      <c r="R244" s="399"/>
      <c r="S244" s="399">
        <v>395.23</v>
      </c>
      <c r="T244" s="399">
        <v>297.72000000000003</v>
      </c>
      <c r="U244" s="399"/>
      <c r="V244" s="399">
        <v>21128.0455</v>
      </c>
      <c r="W244" s="399">
        <v>21128.0455</v>
      </c>
      <c r="X244" s="399">
        <v>18725.433499999999</v>
      </c>
      <c r="Y244" s="399">
        <v>0</v>
      </c>
      <c r="Z244" s="399">
        <v>1848.0482425934415</v>
      </c>
      <c r="AA244" s="399">
        <v>0</v>
      </c>
      <c r="AB244" s="399">
        <v>0</v>
      </c>
      <c r="AC244" s="399">
        <v>0</v>
      </c>
      <c r="AD244" s="399">
        <v>3030.6298718510639</v>
      </c>
      <c r="AE244" s="399">
        <v>6102.4151655125361</v>
      </c>
      <c r="AF244" s="399">
        <v>9077.6003992037877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285.71835698514803</v>
      </c>
      <c r="AM244" s="399"/>
      <c r="AN244" s="399">
        <v>27.147897690773494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756.57286994688445</v>
      </c>
      <c r="BH244" s="399">
        <v>0</v>
      </c>
      <c r="BI244" s="399">
        <v>0</v>
      </c>
      <c r="BJ244" s="399">
        <v>0</v>
      </c>
      <c r="BK244" s="399">
        <v>8700.01</v>
      </c>
      <c r="BL244" s="399">
        <v>32</v>
      </c>
      <c r="BM244" s="399"/>
      <c r="BN244" s="399"/>
      <c r="BO244" s="399"/>
      <c r="BP244" s="399"/>
      <c r="BQ244" s="399"/>
      <c r="BR244" s="399">
        <v>2247.1129999999994</v>
      </c>
      <c r="BS244" s="399"/>
      <c r="BT244" s="399"/>
      <c r="BU244" s="399"/>
      <c r="BV244" s="399">
        <v>9834.1732691506713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16478.320500000002</v>
      </c>
      <c r="CJ244" s="399">
        <v>-2114.5114999999969</v>
      </c>
      <c r="CK244" s="399"/>
      <c r="CL244" s="399"/>
      <c r="CM244" s="399"/>
      <c r="CN244" s="399"/>
      <c r="CO244" s="399">
        <v>-2792.2742000000012</v>
      </c>
      <c r="CP244" s="399">
        <v>389.66219999999913</v>
      </c>
      <c r="CQ244" s="399">
        <v>31</v>
      </c>
      <c r="CR244" s="399">
        <v>752.00452393227715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-23.355697029591283</v>
      </c>
      <c r="DA244" s="399">
        <v>0</v>
      </c>
      <c r="DB244" s="399">
        <v>0</v>
      </c>
      <c r="DC244" s="399">
        <v>389.52331144602067</v>
      </c>
      <c r="DD244" s="399">
        <v>0</v>
      </c>
      <c r="DE244" s="399">
        <v>0</v>
      </c>
      <c r="DF244" s="399">
        <v>0</v>
      </c>
      <c r="DG244" s="399">
        <v>32.464831749783229</v>
      </c>
      <c r="DH244" s="399">
        <v>0</v>
      </c>
      <c r="DI244" s="399">
        <v>308.52592070819037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41.610054659632283</v>
      </c>
      <c r="DP244" s="399">
        <v>3.2361023982427461</v>
      </c>
      <c r="DQ244" s="399">
        <v>0</v>
      </c>
      <c r="DR244" s="399">
        <v>0</v>
      </c>
      <c r="DS244" s="399"/>
      <c r="DT244" s="399"/>
      <c r="DU244" s="399"/>
      <c r="DV244" s="399">
        <v>6102.4151655125361</v>
      </c>
      <c r="DW244" s="399">
        <v>0</v>
      </c>
      <c r="DX244" s="399">
        <v>0</v>
      </c>
      <c r="DY244" s="399">
        <v>-2792.2742000000017</v>
      </c>
      <c r="DZ244" s="399">
        <v>389.66219999999885</v>
      </c>
      <c r="EA244" s="399">
        <v>0</v>
      </c>
      <c r="EB244" s="399">
        <v>0</v>
      </c>
      <c r="EC244" s="399">
        <v>-3154.8634065650681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232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246</v>
      </c>
      <c r="B245" s="399" t="s">
        <v>956</v>
      </c>
      <c r="C245" s="399" t="s">
        <v>2328</v>
      </c>
      <c r="D245" s="399" t="s">
        <v>1824</v>
      </c>
      <c r="E245" s="399" t="s">
        <v>2336</v>
      </c>
      <c r="F245" s="399" t="s">
        <v>1239</v>
      </c>
      <c r="G245" s="399" t="s">
        <v>1239</v>
      </c>
      <c r="H245" s="399" t="s">
        <v>1239</v>
      </c>
      <c r="I245" s="399" t="s">
        <v>1239</v>
      </c>
      <c r="J245" s="399" t="s">
        <v>2326</v>
      </c>
      <c r="K245" s="788">
        <v>44774</v>
      </c>
      <c r="L245" s="399">
        <v>0</v>
      </c>
      <c r="M245" s="399">
        <v>0</v>
      </c>
      <c r="N245" s="399">
        <v>0.86499999999999999</v>
      </c>
      <c r="O245" s="399">
        <v>0.86499999999999999</v>
      </c>
      <c r="P245" s="399">
        <v>0.86499999999999999</v>
      </c>
      <c r="Q245" s="399">
        <v>0.86499999999999999</v>
      </c>
      <c r="R245" s="399"/>
      <c r="S245" s="399">
        <v>395.23</v>
      </c>
      <c r="T245" s="399">
        <v>297.72000000000003</v>
      </c>
      <c r="U245" s="399"/>
      <c r="V245" s="399">
        <v>599.40174999999999</v>
      </c>
      <c r="W245" s="399">
        <v>599.40174999999999</v>
      </c>
      <c r="X245" s="399">
        <v>531.23974999999996</v>
      </c>
      <c r="Y245" s="399">
        <v>0</v>
      </c>
      <c r="Z245" s="399">
        <v>52.429049847272118</v>
      </c>
      <c r="AA245" s="399">
        <v>0</v>
      </c>
      <c r="AB245" s="399">
        <v>0</v>
      </c>
      <c r="AC245" s="399">
        <v>0</v>
      </c>
      <c r="AD245" s="399">
        <v>85.978840247660557</v>
      </c>
      <c r="AE245" s="399">
        <v>173.12525805734157</v>
      </c>
      <c r="AF245" s="399">
        <v>257.53113628439741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8.1058176055150231</v>
      </c>
      <c r="AM245" s="399"/>
      <c r="AN245" s="399">
        <v>0.77018469998422667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21.463940062448508</v>
      </c>
      <c r="BH245" s="399">
        <v>0</v>
      </c>
      <c r="BI245" s="399">
        <v>0</v>
      </c>
      <c r="BJ245" s="399">
        <v>0</v>
      </c>
      <c r="BK245" s="399">
        <v>105.48</v>
      </c>
      <c r="BL245" s="399">
        <v>17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278.99507634684591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534.31050000000005</v>
      </c>
      <c r="CJ245" s="399">
        <v>-65.121249999999918</v>
      </c>
      <c r="CK245" s="399"/>
      <c r="CL245" s="399"/>
      <c r="CM245" s="399"/>
      <c r="CN245" s="399"/>
      <c r="CO245" s="399">
        <v>-79.216700000000031</v>
      </c>
      <c r="CP245" s="399">
        <v>11.054699999999976</v>
      </c>
      <c r="CQ245" s="399">
        <v>31</v>
      </c>
      <c r="CR245" s="399">
        <v>21.334336280794446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-0.66260012891427778</v>
      </c>
      <c r="DA245" s="399">
        <v>0</v>
      </c>
      <c r="DB245" s="399">
        <v>0</v>
      </c>
      <c r="DC245" s="399">
        <v>11.050759737645365</v>
      </c>
      <c r="DD245" s="399">
        <v>0</v>
      </c>
      <c r="DE245" s="399">
        <v>0</v>
      </c>
      <c r="DF245" s="399">
        <v>0</v>
      </c>
      <c r="DG245" s="399">
        <v>0.92102589254059097</v>
      </c>
      <c r="DH245" s="399">
        <v>0</v>
      </c>
      <c r="DI245" s="399">
        <v>8.7528672158932395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1.1804754765687751</v>
      </c>
      <c r="DP245" s="399">
        <v>9.1808087060674892E-2</v>
      </c>
      <c r="DQ245" s="399">
        <v>0</v>
      </c>
      <c r="DR245" s="399">
        <v>0</v>
      </c>
      <c r="DS245" s="399"/>
      <c r="DT245" s="399"/>
      <c r="DU245" s="399"/>
      <c r="DV245" s="399">
        <v>173.12525805734157</v>
      </c>
      <c r="DW245" s="399">
        <v>0</v>
      </c>
      <c r="DX245" s="399">
        <v>0</v>
      </c>
      <c r="DY245" s="399">
        <v>-79.21670000000006</v>
      </c>
      <c r="DZ245" s="399">
        <v>11.054699999999968</v>
      </c>
      <c r="EA245" s="399">
        <v>0</v>
      </c>
      <c r="EB245" s="399">
        <v>0</v>
      </c>
      <c r="EC245" s="399">
        <v>-89.503340330560334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232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247</v>
      </c>
      <c r="B246" s="399" t="s">
        <v>956</v>
      </c>
      <c r="C246" s="399" t="s">
        <v>2328</v>
      </c>
      <c r="D246" s="399" t="s">
        <v>2337</v>
      </c>
      <c r="E246" s="399" t="s">
        <v>2338</v>
      </c>
      <c r="F246" s="399" t="s">
        <v>2339</v>
      </c>
      <c r="G246" s="399" t="s">
        <v>1239</v>
      </c>
      <c r="H246" s="399" t="s">
        <v>1239</v>
      </c>
      <c r="I246" s="399" t="s">
        <v>1239</v>
      </c>
      <c r="J246" s="399" t="s">
        <v>2326</v>
      </c>
      <c r="K246" s="788">
        <v>44774</v>
      </c>
      <c r="L246" s="399">
        <v>0</v>
      </c>
      <c r="M246" s="399">
        <v>0</v>
      </c>
      <c r="N246" s="399">
        <v>21.538</v>
      </c>
      <c r="O246" s="399">
        <v>21.538</v>
      </c>
      <c r="P246" s="399">
        <v>21.538</v>
      </c>
      <c r="Q246" s="399">
        <v>21.538</v>
      </c>
      <c r="R246" s="399"/>
      <c r="S246" s="399">
        <v>217.38</v>
      </c>
      <c r="T246" s="399">
        <v>163.75</v>
      </c>
      <c r="U246" s="399"/>
      <c r="V246" s="399">
        <v>8208.7779399999999</v>
      </c>
      <c r="W246" s="399">
        <v>8208.7779399999999</v>
      </c>
      <c r="X246" s="399">
        <v>7275.1056399999998</v>
      </c>
      <c r="Y246" s="399">
        <v>0</v>
      </c>
      <c r="Z246" s="399">
        <v>717.99916946335372</v>
      </c>
      <c r="AA246" s="399">
        <v>0</v>
      </c>
      <c r="AB246" s="399">
        <v>0</v>
      </c>
      <c r="AC246" s="399">
        <v>0</v>
      </c>
      <c r="AD246" s="399">
        <v>1177.4528828783377</v>
      </c>
      <c r="AE246" s="399">
        <v>2370.8953692733699</v>
      </c>
      <c r="AF246" s="399">
        <v>3526.8070373541523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111.00659511349171</v>
      </c>
      <c r="AM246" s="399"/>
      <c r="AN246" s="399">
        <v>10.547434609876465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293.94183535925879</v>
      </c>
      <c r="BH246" s="399">
        <v>0</v>
      </c>
      <c r="BI246" s="399">
        <v>0</v>
      </c>
      <c r="BJ246" s="399">
        <v>0</v>
      </c>
      <c r="BK246" s="399">
        <v>1490.08</v>
      </c>
      <c r="BL246" s="399">
        <v>1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3820.7488727134109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7275.7811999999994</v>
      </c>
      <c r="CJ246" s="399">
        <v>-933.02674000000115</v>
      </c>
      <c r="CK246" s="399"/>
      <c r="CL246" s="399"/>
      <c r="CM246" s="399"/>
      <c r="CN246" s="399"/>
      <c r="CO246" s="399">
        <v>-1084.8690600000002</v>
      </c>
      <c r="CP246" s="399">
        <v>151.19676000000021</v>
      </c>
      <c r="CQ246" s="399">
        <v>31</v>
      </c>
      <c r="CR246" s="399">
        <v>292.1669527730246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-9.0740981122605717</v>
      </c>
      <c r="DA246" s="399">
        <v>0</v>
      </c>
      <c r="DB246" s="399">
        <v>0</v>
      </c>
      <c r="DC246" s="399">
        <v>151.33664135974277</v>
      </c>
      <c r="DD246" s="399">
        <v>0</v>
      </c>
      <c r="DE246" s="399">
        <v>0</v>
      </c>
      <c r="DF246" s="399">
        <v>0</v>
      </c>
      <c r="DG246" s="399">
        <v>12.613156786643515</v>
      </c>
      <c r="DH246" s="399">
        <v>0</v>
      </c>
      <c r="DI246" s="399">
        <v>119.86773381820694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16.166236355938167</v>
      </c>
      <c r="DP246" s="399">
        <v>1.2572825647538224</v>
      </c>
      <c r="DQ246" s="399">
        <v>0</v>
      </c>
      <c r="DR246" s="399">
        <v>0</v>
      </c>
      <c r="DS246" s="399"/>
      <c r="DT246" s="399"/>
      <c r="DU246" s="399"/>
      <c r="DV246" s="399">
        <v>2370.8953692733699</v>
      </c>
      <c r="DW246" s="399">
        <v>0</v>
      </c>
      <c r="DX246" s="399">
        <v>0</v>
      </c>
      <c r="DY246" s="399">
        <v>-1084.8690600000004</v>
      </c>
      <c r="DZ246" s="399">
        <v>151.19676000000027</v>
      </c>
      <c r="EA246" s="399">
        <v>0</v>
      </c>
      <c r="EB246" s="399">
        <v>0</v>
      </c>
      <c r="EC246" s="399">
        <v>-1225.7197910078457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232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248</v>
      </c>
      <c r="B247" s="399" t="s">
        <v>956</v>
      </c>
      <c r="C247" s="399" t="s">
        <v>2328</v>
      </c>
      <c r="D247" s="399" t="s">
        <v>1824</v>
      </c>
      <c r="E247" s="399" t="s">
        <v>921</v>
      </c>
      <c r="F247" s="399" t="s">
        <v>2327</v>
      </c>
      <c r="G247" s="399" t="s">
        <v>1239</v>
      </c>
      <c r="H247" s="399" t="s">
        <v>1239</v>
      </c>
      <c r="I247" s="399" t="s">
        <v>1239</v>
      </c>
      <c r="J247" s="399" t="s">
        <v>2326</v>
      </c>
      <c r="K247" s="788">
        <v>44774</v>
      </c>
      <c r="L247" s="399">
        <v>0</v>
      </c>
      <c r="M247" s="399">
        <v>0</v>
      </c>
      <c r="N247" s="399">
        <v>0.52200000000000002</v>
      </c>
      <c r="O247" s="399">
        <v>0.49068000000000001</v>
      </c>
      <c r="P247" s="399">
        <v>0.52200000000000002</v>
      </c>
      <c r="Q247" s="399">
        <v>0.49068000000000001</v>
      </c>
      <c r="R247" s="399"/>
      <c r="S247" s="399">
        <v>395.23</v>
      </c>
      <c r="T247" s="399">
        <v>297.72000000000003</v>
      </c>
      <c r="U247" s="399"/>
      <c r="V247" s="399">
        <v>361.71990000000005</v>
      </c>
      <c r="W247" s="399">
        <v>361.71990000000005</v>
      </c>
      <c r="X247" s="399">
        <v>320.58630000000005</v>
      </c>
      <c r="Y247" s="399">
        <v>0</v>
      </c>
      <c r="Z247" s="399">
        <v>31.63926476332491</v>
      </c>
      <c r="AA247" s="399">
        <v>0</v>
      </c>
      <c r="AB247" s="399">
        <v>0</v>
      </c>
      <c r="AC247" s="399">
        <v>0</v>
      </c>
      <c r="AD247" s="399">
        <v>51.885496658125795</v>
      </c>
      <c r="AE247" s="399">
        <v>104.47558925541307</v>
      </c>
      <c r="AF247" s="399">
        <v>155.411853341567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4.8916032255246726</v>
      </c>
      <c r="AM247" s="399"/>
      <c r="AN247" s="399">
        <v>0.46478198079972988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12.952805448090315</v>
      </c>
      <c r="BH247" s="399">
        <v>0</v>
      </c>
      <c r="BI247" s="399">
        <v>0</v>
      </c>
      <c r="BJ247" s="399">
        <v>0</v>
      </c>
      <c r="BK247" s="399">
        <v>63.63</v>
      </c>
      <c r="BL247" s="399">
        <v>2</v>
      </c>
      <c r="BM247" s="399"/>
      <c r="BN247" s="399"/>
      <c r="BO247" s="399"/>
      <c r="BP247" s="399"/>
      <c r="BQ247" s="399">
        <v>19.235178000000008</v>
      </c>
      <c r="BR247" s="399"/>
      <c r="BS247" s="399"/>
      <c r="BT247" s="399"/>
      <c r="BU247" s="399"/>
      <c r="BV247" s="399">
        <v>168.36465878965731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300.93349999999998</v>
      </c>
      <c r="CJ247" s="399">
        <v>-39.113205999999991</v>
      </c>
      <c r="CK247" s="399"/>
      <c r="CL247" s="399"/>
      <c r="CM247" s="399"/>
      <c r="CN247" s="399"/>
      <c r="CO247" s="399">
        <v>-47.804760000000023</v>
      </c>
      <c r="CP247" s="399">
        <v>6.6711599999999862</v>
      </c>
      <c r="CQ247" s="399">
        <v>31</v>
      </c>
      <c r="CR247" s="399">
        <v>12.87459368621353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-0.3998581124777516</v>
      </c>
      <c r="DA247" s="399">
        <v>0</v>
      </c>
      <c r="DB247" s="399">
        <v>0</v>
      </c>
      <c r="DC247" s="399">
        <v>6.6687821769374409</v>
      </c>
      <c r="DD247" s="399">
        <v>0</v>
      </c>
      <c r="DE247" s="399">
        <v>0</v>
      </c>
      <c r="DF247" s="399">
        <v>0</v>
      </c>
      <c r="DG247" s="399">
        <v>0.55580984497825092</v>
      </c>
      <c r="DH247" s="399">
        <v>0</v>
      </c>
      <c r="DI247" s="399">
        <v>5.2820770944465565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0.71237942054208236</v>
      </c>
      <c r="DP247" s="399">
        <v>5.5403261786904356E-2</v>
      </c>
      <c r="DQ247" s="399">
        <v>0</v>
      </c>
      <c r="DR247" s="399">
        <v>0</v>
      </c>
      <c r="DS247" s="399"/>
      <c r="DT247" s="399"/>
      <c r="DU247" s="399"/>
      <c r="DV247" s="399">
        <v>104.47558925541307</v>
      </c>
      <c r="DW247" s="399">
        <v>0</v>
      </c>
      <c r="DX247" s="399">
        <v>0</v>
      </c>
      <c r="DY247" s="399">
        <v>-47.804760000000016</v>
      </c>
      <c r="DZ247" s="399">
        <v>6.6711599999999862</v>
      </c>
      <c r="EA247" s="399">
        <v>0</v>
      </c>
      <c r="EB247" s="399">
        <v>0</v>
      </c>
      <c r="EC247" s="399">
        <v>-54.012420407575142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232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K248" s="261"/>
      <c r="L248" s="261"/>
      <c r="M248" s="261"/>
      <c r="N248" s="261"/>
      <c r="O248" s="261"/>
      <c r="P248" s="261"/>
      <c r="Q248" s="261"/>
      <c r="BR248" s="261"/>
      <c r="BS248" s="261"/>
      <c r="BT248" s="261"/>
      <c r="BU248" s="261"/>
      <c r="BV248" s="261"/>
      <c r="CJ248" s="261"/>
      <c r="CO248" s="261"/>
      <c r="CP248" s="261"/>
      <c r="CQ248" s="261"/>
      <c r="CR248" s="261"/>
      <c r="CS248" s="261"/>
      <c r="CT248" s="261"/>
      <c r="CU248" s="261"/>
      <c r="CV248" s="261"/>
      <c r="CW248" s="261"/>
      <c r="CX248" s="261"/>
      <c r="CY248" s="261"/>
      <c r="CZ248" s="261"/>
      <c r="DA248" s="261"/>
      <c r="DB248" s="261"/>
      <c r="DC248" s="261"/>
      <c r="DD248" s="261"/>
      <c r="DE248" s="261"/>
      <c r="DF248" s="261"/>
      <c r="DG248" s="261"/>
      <c r="DH248" s="261"/>
      <c r="DI248" s="261"/>
      <c r="DJ248" s="261"/>
      <c r="DK248" s="261"/>
      <c r="DL248" s="261"/>
      <c r="DM248" s="261"/>
      <c r="DN248" s="261"/>
      <c r="DO248" s="261"/>
      <c r="DP248" s="261"/>
      <c r="DQ248" s="261"/>
      <c r="DR248" s="261"/>
      <c r="DS248" s="261"/>
      <c r="DY248" s="261"/>
      <c r="EC248" s="261"/>
      <c r="EP248" s="261"/>
    </row>
    <row r="249" spans="1:165">
      <c r="K249" s="261"/>
      <c r="L249" s="261"/>
      <c r="M249" s="261"/>
      <c r="N249" s="261"/>
      <c r="O249" s="261"/>
      <c r="P249" s="261"/>
      <c r="Q249" s="261"/>
      <c r="BR249" s="261"/>
      <c r="BS249" s="261"/>
      <c r="BT249" s="261"/>
      <c r="BU249" s="261"/>
      <c r="BV249" s="261"/>
      <c r="CJ249" s="261"/>
      <c r="CO249" s="261"/>
      <c r="CP249" s="261"/>
      <c r="CQ249" s="261"/>
      <c r="CR249" s="261"/>
      <c r="CS249" s="261"/>
      <c r="CT249" s="261"/>
      <c r="CU249" s="261"/>
      <c r="CV249" s="261"/>
      <c r="CW249" s="261"/>
      <c r="CX249" s="261"/>
      <c r="CY249" s="261"/>
      <c r="CZ249" s="261"/>
      <c r="DA249" s="261"/>
      <c r="DB249" s="261"/>
      <c r="DC249" s="261"/>
      <c r="DD249" s="261"/>
      <c r="DE249" s="261"/>
      <c r="DF249" s="261"/>
      <c r="DG249" s="261"/>
      <c r="DH249" s="261"/>
      <c r="DI249" s="261"/>
      <c r="DJ249" s="261"/>
      <c r="DK249" s="261"/>
      <c r="DL249" s="261"/>
      <c r="DM249" s="261"/>
      <c r="DN249" s="261"/>
      <c r="DO249" s="261"/>
      <c r="DP249" s="261"/>
      <c r="DQ249" s="261"/>
      <c r="DR249" s="261"/>
      <c r="DS249" s="261"/>
      <c r="DY249" s="261"/>
      <c r="EC249" s="261"/>
      <c r="EP249" s="261"/>
    </row>
    <row r="250" spans="1:165">
      <c r="K250" s="261"/>
      <c r="L250" s="261"/>
      <c r="M250" s="261"/>
      <c r="N250" s="261"/>
      <c r="O250" s="261"/>
      <c r="P250" s="261"/>
      <c r="Q250" s="261"/>
      <c r="BR250" s="261"/>
      <c r="BS250" s="261"/>
      <c r="BT250" s="261"/>
      <c r="BU250" s="261"/>
      <c r="BV250" s="261"/>
      <c r="CJ250" s="261"/>
      <c r="CO250" s="261"/>
      <c r="CP250" s="261"/>
      <c r="CQ250" s="261"/>
      <c r="CR250" s="261"/>
      <c r="CS250" s="261"/>
      <c r="CT250" s="261"/>
      <c r="CU250" s="261"/>
      <c r="CV250" s="261"/>
      <c r="CW250" s="261"/>
      <c r="CX250" s="261"/>
      <c r="CY250" s="261"/>
      <c r="CZ250" s="261"/>
      <c r="DA250" s="261"/>
      <c r="DB250" s="261"/>
      <c r="DC250" s="261"/>
      <c r="DD250" s="261"/>
      <c r="DE250" s="261"/>
      <c r="DF250" s="261"/>
      <c r="DG250" s="261"/>
      <c r="DH250" s="261"/>
      <c r="DI250" s="261"/>
      <c r="DJ250" s="261"/>
      <c r="DK250" s="261"/>
      <c r="DL250" s="261"/>
      <c r="DM250" s="261"/>
      <c r="DN250" s="261"/>
      <c r="DO250" s="261"/>
      <c r="DP250" s="261"/>
      <c r="DQ250" s="261"/>
      <c r="DR250" s="261"/>
      <c r="DS250" s="261"/>
      <c r="DY250" s="261"/>
      <c r="EC250" s="261"/>
      <c r="EP250" s="261"/>
    </row>
    <row r="251" spans="1:165">
      <c r="K251" s="261"/>
      <c r="L251" s="261"/>
      <c r="M251" s="261"/>
      <c r="N251" s="261"/>
      <c r="O251" s="261"/>
      <c r="P251" s="261"/>
      <c r="Q251" s="261"/>
      <c r="BR251" s="261"/>
      <c r="BS251" s="261"/>
      <c r="BT251" s="261"/>
      <c r="BU251" s="261"/>
      <c r="BV251" s="261"/>
      <c r="CJ251" s="261"/>
      <c r="CO251" s="261"/>
      <c r="CP251" s="261"/>
      <c r="CQ251" s="261"/>
      <c r="CR251" s="261"/>
      <c r="CS251" s="261"/>
      <c r="CT251" s="261"/>
      <c r="CU251" s="261"/>
      <c r="CV251" s="261"/>
      <c r="CW251" s="261"/>
      <c r="CX251" s="261"/>
      <c r="CY251" s="261"/>
      <c r="CZ251" s="261"/>
      <c r="DA251" s="261"/>
      <c r="DB251" s="261"/>
      <c r="DC251" s="261"/>
      <c r="DD251" s="261"/>
      <c r="DE251" s="261"/>
      <c r="DF251" s="261"/>
      <c r="DG251" s="261"/>
      <c r="DH251" s="261"/>
      <c r="DI251" s="261"/>
      <c r="DJ251" s="261"/>
      <c r="DK251" s="261"/>
      <c r="DL251" s="261"/>
      <c r="DM251" s="261"/>
      <c r="DN251" s="261"/>
      <c r="DO251" s="261"/>
      <c r="DP251" s="261"/>
      <c r="DQ251" s="261"/>
      <c r="DR251" s="261"/>
      <c r="DS251" s="261"/>
      <c r="DY251" s="261"/>
      <c r="EC251" s="261"/>
      <c r="EP251" s="261"/>
    </row>
    <row r="252" spans="1:165">
      <c r="K252" s="261"/>
      <c r="L252" s="261"/>
      <c r="M252" s="261"/>
      <c r="N252" s="261"/>
      <c r="O252" s="261"/>
      <c r="P252" s="261"/>
      <c r="Q252" s="261"/>
      <c r="BR252" s="261"/>
      <c r="BS252" s="261"/>
      <c r="BT252" s="261"/>
      <c r="BU252" s="261"/>
      <c r="BV252" s="261"/>
      <c r="CJ252" s="261"/>
      <c r="CO252" s="261"/>
      <c r="CP252" s="261"/>
      <c r="CQ252" s="261"/>
      <c r="CR252" s="261"/>
      <c r="CS252" s="261"/>
      <c r="CT252" s="261"/>
      <c r="CU252" s="261"/>
      <c r="CV252" s="261"/>
      <c r="CW252" s="261"/>
      <c r="CX252" s="261"/>
      <c r="CY252" s="261"/>
      <c r="CZ252" s="261"/>
      <c r="DA252" s="261"/>
      <c r="DB252" s="261"/>
      <c r="DC252" s="261"/>
      <c r="DD252" s="261"/>
      <c r="DE252" s="261"/>
      <c r="DF252" s="261"/>
      <c r="DG252" s="261"/>
      <c r="DH252" s="261"/>
      <c r="DI252" s="261"/>
      <c r="DJ252" s="261"/>
      <c r="DK252" s="261"/>
      <c r="DL252" s="261"/>
      <c r="DM252" s="261"/>
      <c r="DN252" s="261"/>
      <c r="DO252" s="261"/>
      <c r="DP252" s="261"/>
      <c r="DQ252" s="261"/>
      <c r="DR252" s="261"/>
      <c r="DS252" s="261"/>
      <c r="DY252" s="261"/>
      <c r="EC252" s="261"/>
      <c r="EP252" s="261"/>
    </row>
    <row r="253" spans="1:165">
      <c r="K253" s="261"/>
      <c r="L253" s="261"/>
      <c r="M253" s="261"/>
      <c r="N253" s="261"/>
      <c r="O253" s="261"/>
      <c r="P253" s="261"/>
      <c r="Q253" s="261"/>
      <c r="BR253" s="261"/>
      <c r="BS253" s="261"/>
      <c r="BT253" s="261"/>
      <c r="BU253" s="261"/>
      <c r="BV253" s="261"/>
      <c r="CJ253" s="261"/>
      <c r="CO253" s="261"/>
      <c r="CP253" s="261"/>
      <c r="CQ253" s="261"/>
      <c r="CR253" s="261"/>
      <c r="CS253" s="261"/>
      <c r="CT253" s="261"/>
      <c r="CU253" s="261"/>
      <c r="CV253" s="261"/>
      <c r="CW253" s="261"/>
      <c r="CX253" s="261"/>
      <c r="CY253" s="261"/>
      <c r="CZ253" s="261"/>
      <c r="DA253" s="261"/>
      <c r="DB253" s="261"/>
      <c r="DC253" s="261"/>
      <c r="DD253" s="261"/>
      <c r="DE253" s="261"/>
      <c r="DF253" s="261"/>
      <c r="DG253" s="261"/>
      <c r="DH253" s="261"/>
      <c r="DI253" s="261"/>
      <c r="DJ253" s="261"/>
      <c r="DK253" s="261"/>
      <c r="DL253" s="261"/>
      <c r="DM253" s="261"/>
      <c r="DN253" s="261"/>
      <c r="DO253" s="261"/>
      <c r="DP253" s="261"/>
      <c r="DQ253" s="261"/>
      <c r="DR253" s="261"/>
      <c r="DS253" s="261"/>
      <c r="DY253" s="261"/>
      <c r="EC253" s="261"/>
      <c r="EP253" s="261"/>
    </row>
    <row r="254" spans="1:165">
      <c r="K254" s="261"/>
      <c r="L254" s="261"/>
      <c r="M254" s="261"/>
      <c r="N254" s="261"/>
      <c r="O254" s="261"/>
      <c r="P254" s="261"/>
      <c r="Q254" s="261"/>
      <c r="BR254" s="261"/>
      <c r="BS254" s="261"/>
      <c r="BT254" s="261"/>
      <c r="BU254" s="261"/>
      <c r="BV254" s="261"/>
      <c r="CJ254" s="261"/>
      <c r="CO254" s="261"/>
      <c r="CP254" s="261"/>
      <c r="CQ254" s="261"/>
      <c r="CR254" s="261"/>
      <c r="CS254" s="261"/>
      <c r="CT254" s="261"/>
      <c r="CU254" s="261"/>
      <c r="CV254" s="261"/>
      <c r="CW254" s="261"/>
      <c r="CX254" s="261"/>
      <c r="CY254" s="261"/>
      <c r="CZ254" s="261"/>
      <c r="DA254" s="261"/>
      <c r="DB254" s="261"/>
      <c r="DC254" s="261"/>
      <c r="DD254" s="261"/>
      <c r="DE254" s="261"/>
      <c r="DF254" s="261"/>
      <c r="DG254" s="261"/>
      <c r="DH254" s="261"/>
      <c r="DI254" s="261"/>
      <c r="DJ254" s="261"/>
      <c r="DK254" s="261"/>
      <c r="DL254" s="261"/>
      <c r="DM254" s="261"/>
      <c r="DN254" s="261"/>
      <c r="DO254" s="261"/>
      <c r="DP254" s="261"/>
      <c r="DQ254" s="261"/>
      <c r="DR254" s="261"/>
      <c r="DS254" s="261"/>
      <c r="DY254" s="261"/>
      <c r="EC254" s="261"/>
      <c r="EP254" s="261"/>
    </row>
    <row r="255" spans="1:165">
      <c r="K255" s="261"/>
      <c r="L255" s="261"/>
      <c r="M255" s="261"/>
      <c r="N255" s="261"/>
      <c r="O255" s="261"/>
      <c r="P255" s="261"/>
      <c r="Q255" s="261"/>
      <c r="BR255" s="261"/>
      <c r="BS255" s="261"/>
      <c r="BT255" s="261"/>
      <c r="BU255" s="261"/>
      <c r="BV255" s="261"/>
      <c r="CJ255" s="261"/>
      <c r="CO255" s="261"/>
      <c r="CP255" s="261"/>
      <c r="CQ255" s="261"/>
      <c r="CR255" s="261"/>
      <c r="CS255" s="261"/>
      <c r="CT255" s="261"/>
      <c r="CU255" s="261"/>
      <c r="CV255" s="261"/>
      <c r="CW255" s="261"/>
      <c r="CX255" s="261"/>
      <c r="CY255" s="261"/>
      <c r="CZ255" s="261"/>
      <c r="DA255" s="261"/>
      <c r="DB255" s="261"/>
      <c r="DC255" s="261"/>
      <c r="DD255" s="261"/>
      <c r="DE255" s="261"/>
      <c r="DF255" s="261"/>
      <c r="DG255" s="261"/>
      <c r="DH255" s="261"/>
      <c r="DI255" s="261"/>
      <c r="DJ255" s="261"/>
      <c r="DK255" s="261"/>
      <c r="DL255" s="261"/>
      <c r="DM255" s="261"/>
      <c r="DN255" s="261"/>
      <c r="DO255" s="261"/>
      <c r="DP255" s="261"/>
      <c r="DQ255" s="261"/>
      <c r="DR255" s="261"/>
      <c r="DS255" s="261"/>
      <c r="DY255" s="261"/>
      <c r="EC255" s="261"/>
      <c r="EP255" s="261"/>
    </row>
    <row r="256" spans="1:165">
      <c r="K256" s="261"/>
      <c r="L256" s="261"/>
      <c r="M256" s="261"/>
      <c r="N256" s="261"/>
      <c r="O256" s="261"/>
      <c r="P256" s="261"/>
      <c r="Q256" s="261"/>
      <c r="BR256" s="261"/>
      <c r="BS256" s="261"/>
      <c r="BT256" s="261"/>
      <c r="BU256" s="261"/>
      <c r="BV256" s="261"/>
      <c r="CJ256" s="261"/>
      <c r="CO256" s="261"/>
      <c r="CP256" s="261"/>
      <c r="CQ256" s="261"/>
      <c r="CR256" s="261"/>
      <c r="CS256" s="261"/>
      <c r="CT256" s="261"/>
      <c r="CU256" s="261"/>
      <c r="CV256" s="261"/>
      <c r="CW256" s="261"/>
      <c r="CX256" s="261"/>
      <c r="CY256" s="261"/>
      <c r="CZ256" s="261"/>
      <c r="DA256" s="261"/>
      <c r="DB256" s="261"/>
      <c r="DC256" s="261"/>
      <c r="DD256" s="261"/>
      <c r="DE256" s="261"/>
      <c r="DF256" s="261"/>
      <c r="DG256" s="261"/>
      <c r="DH256" s="261"/>
      <c r="DI256" s="261"/>
      <c r="DJ256" s="261"/>
      <c r="DK256" s="261"/>
      <c r="DL256" s="261"/>
      <c r="DM256" s="261"/>
      <c r="DN256" s="261"/>
      <c r="DO256" s="261"/>
      <c r="DP256" s="261"/>
      <c r="DQ256" s="261"/>
      <c r="DR256" s="261"/>
      <c r="DS256" s="261"/>
      <c r="DY256" s="261"/>
      <c r="EC256" s="261"/>
      <c r="EP256" s="261"/>
    </row>
    <row r="257" s="261" customFormat="1"/>
    <row r="258" s="261" customFormat="1"/>
    <row r="259" s="261" customFormat="1"/>
    <row r="260" s="261" customFormat="1"/>
    <row r="261" s="261" customFormat="1"/>
    <row r="262" s="261" customFormat="1"/>
    <row r="263" s="261" customFormat="1"/>
    <row r="264" s="261" customFormat="1"/>
    <row r="265" s="261" customFormat="1"/>
    <row r="266" s="261" customFormat="1"/>
    <row r="267" s="261" customFormat="1"/>
    <row r="268" s="261" customFormat="1"/>
    <row r="269" s="261" customFormat="1"/>
    <row r="270" s="261" customFormat="1"/>
    <row r="271" s="261" customFormat="1"/>
    <row r="272" s="261" customFormat="1"/>
    <row r="273" s="261" customFormat="1"/>
    <row r="274" s="261" customFormat="1"/>
    <row r="275" s="261" customFormat="1"/>
    <row r="276" s="261" customFormat="1"/>
    <row r="277" s="261" customFormat="1"/>
    <row r="278" s="261" customFormat="1"/>
    <row r="279" s="261" customFormat="1"/>
    <row r="280" s="261" customFormat="1"/>
    <row r="281" s="261" customFormat="1"/>
    <row r="282" s="261" customFormat="1"/>
    <row r="283" s="261" customFormat="1"/>
    <row r="284" s="261" customFormat="1"/>
    <row r="285" s="261" customFormat="1"/>
    <row r="286" s="261" customFormat="1"/>
    <row r="287" s="261" customFormat="1"/>
    <row r="288" s="261" customFormat="1"/>
    <row r="289" s="261" customFormat="1"/>
    <row r="290" s="261" customFormat="1"/>
    <row r="291" s="261" customFormat="1"/>
    <row r="292" s="261" customFormat="1"/>
    <row r="293" s="261" customFormat="1"/>
    <row r="294" s="261" customFormat="1"/>
    <row r="295" s="261" customFormat="1"/>
    <row r="296" s="261" customFormat="1"/>
    <row r="297" s="261" customFormat="1"/>
    <row r="298" s="261" customFormat="1"/>
    <row r="299" s="261" customFormat="1"/>
    <row r="300" s="261" customFormat="1"/>
    <row r="301" s="261" customFormat="1"/>
    <row r="302" s="261" customFormat="1"/>
    <row r="303" s="261" customFormat="1"/>
    <row r="304" s="261" customFormat="1"/>
    <row r="305" s="261" customFormat="1"/>
    <row r="306" s="261" customFormat="1"/>
    <row r="307" s="261" customFormat="1"/>
    <row r="308" s="261" customFormat="1"/>
    <row r="309" s="261" customFormat="1"/>
    <row r="310" s="261" customFormat="1"/>
    <row r="311" s="261" customFormat="1"/>
    <row r="312" s="261" customFormat="1"/>
    <row r="313" s="261" customFormat="1"/>
    <row r="314" s="261" customFormat="1"/>
    <row r="315" s="261" customFormat="1"/>
    <row r="316" s="261" customFormat="1"/>
    <row r="317" s="261" customFormat="1"/>
    <row r="318" s="261" customFormat="1"/>
    <row r="319" s="261" customFormat="1"/>
    <row r="320" s="261" customFormat="1"/>
    <row r="321" s="261" customFormat="1"/>
    <row r="322" s="261" customFormat="1"/>
    <row r="323" s="261" customFormat="1"/>
    <row r="324" s="261" customFormat="1"/>
    <row r="325" s="261" customFormat="1"/>
    <row r="326" s="261" customFormat="1"/>
    <row r="327" s="261" customFormat="1"/>
    <row r="328" s="261" customFormat="1"/>
    <row r="329" s="261" customFormat="1"/>
    <row r="330" s="261" customFormat="1"/>
    <row r="331" s="261" customFormat="1"/>
    <row r="332" s="261" customFormat="1"/>
    <row r="333" s="261" customFormat="1"/>
    <row r="334" s="261" customFormat="1"/>
    <row r="335" s="261" customFormat="1"/>
    <row r="336" s="261" customFormat="1"/>
    <row r="337" s="261" customFormat="1"/>
    <row r="338" s="261" customFormat="1"/>
    <row r="339" s="261" customFormat="1"/>
    <row r="340" s="261" customFormat="1"/>
    <row r="341" s="261" customFormat="1"/>
    <row r="342" s="261" customFormat="1"/>
    <row r="343" s="261" customFormat="1"/>
    <row r="344" s="261" customFormat="1"/>
    <row r="345" s="261" customFormat="1"/>
    <row r="346" s="261" customFormat="1"/>
    <row r="347" s="261" customFormat="1"/>
    <row r="348" s="261" customFormat="1"/>
    <row r="349" s="261" customFormat="1"/>
    <row r="350" s="261" customFormat="1"/>
    <row r="351" s="261" customFormat="1"/>
    <row r="352" s="261" customFormat="1"/>
    <row r="353" s="261" customFormat="1"/>
    <row r="354" s="261" customFormat="1"/>
    <row r="355" s="261" customFormat="1"/>
    <row r="356" s="261" customFormat="1"/>
    <row r="357" s="261" customFormat="1"/>
    <row r="358" s="261" customFormat="1"/>
    <row r="359" s="261" customFormat="1"/>
    <row r="360" s="261" customFormat="1"/>
    <row r="361" s="261" customFormat="1"/>
    <row r="362" s="261" customFormat="1"/>
    <row r="363" s="261" customFormat="1"/>
    <row r="364" s="261" customFormat="1"/>
    <row r="365" s="261" customFormat="1"/>
    <row r="366" s="261" customFormat="1"/>
    <row r="367" s="261" customFormat="1"/>
    <row r="368" s="261" customFormat="1"/>
    <row r="369" s="261" customFormat="1"/>
    <row r="370" s="261" customFormat="1"/>
    <row r="371" s="261" customFormat="1"/>
    <row r="372" s="261" customFormat="1"/>
    <row r="373" s="261" customFormat="1"/>
    <row r="374" s="261" customFormat="1"/>
    <row r="375" s="261" customFormat="1"/>
    <row r="376" s="261" customFormat="1"/>
    <row r="377" s="261" customFormat="1"/>
    <row r="378" s="261" customFormat="1"/>
    <row r="379" s="261" customFormat="1"/>
    <row r="380" s="261" customFormat="1"/>
    <row r="381" s="261" customFormat="1"/>
    <row r="382" s="261" customFormat="1"/>
    <row r="383" s="261" customFormat="1"/>
    <row r="384" s="261" customFormat="1"/>
    <row r="385" s="261" customFormat="1"/>
    <row r="386" s="261" customFormat="1"/>
    <row r="387" s="261" customFormat="1"/>
    <row r="388" s="261" customFormat="1"/>
    <row r="389" s="261" customFormat="1"/>
    <row r="390" s="261" customFormat="1"/>
    <row r="391" s="261" customFormat="1"/>
    <row r="392" s="261" customFormat="1"/>
    <row r="393" s="261" customFormat="1"/>
    <row r="394" s="261" customFormat="1"/>
    <row r="395" s="261" customFormat="1"/>
    <row r="396" s="261" customFormat="1"/>
    <row r="397" s="261" customFormat="1"/>
    <row r="398" s="261" customFormat="1"/>
    <row r="399" s="261" customFormat="1"/>
    <row r="400" s="261" customFormat="1"/>
    <row r="401" s="261" customFormat="1"/>
    <row r="402" s="261" customFormat="1"/>
    <row r="403" s="261" customFormat="1"/>
    <row r="404" s="261" customFormat="1"/>
    <row r="405" s="261" customFormat="1"/>
    <row r="406" s="261" customFormat="1"/>
    <row r="407" s="261" customFormat="1"/>
    <row r="408" s="261" customFormat="1"/>
    <row r="409" s="261" customFormat="1"/>
    <row r="410" s="261" customFormat="1"/>
    <row r="411" s="261" customFormat="1"/>
    <row r="412" s="261" customFormat="1"/>
    <row r="413" s="261" customFormat="1"/>
    <row r="414" s="261" customFormat="1"/>
    <row r="415" s="261" customFormat="1"/>
    <row r="416" s="261" customFormat="1"/>
    <row r="417" s="261" customFormat="1"/>
    <row r="418" s="261" customFormat="1"/>
    <row r="419" s="261" customFormat="1"/>
    <row r="420" s="261" customFormat="1"/>
    <row r="421" s="261" customFormat="1"/>
    <row r="422" s="261" customFormat="1"/>
    <row r="423" s="261" customFormat="1"/>
    <row r="424" s="261" customFormat="1"/>
    <row r="425" s="261" customFormat="1"/>
    <row r="426" s="261" customFormat="1"/>
    <row r="427" s="261" customFormat="1"/>
    <row r="428" s="261" customFormat="1"/>
    <row r="429" s="261" customFormat="1"/>
    <row r="430" s="261" customFormat="1"/>
    <row r="431" s="261" customFormat="1"/>
    <row r="432" s="261" customFormat="1"/>
    <row r="433" s="261" customFormat="1"/>
    <row r="434" s="261" customFormat="1"/>
    <row r="435" s="261" customFormat="1"/>
    <row r="436" s="261" customFormat="1"/>
    <row r="437" s="261" customFormat="1"/>
    <row r="438" s="261" customFormat="1"/>
    <row r="439" s="261" customFormat="1"/>
    <row r="440" s="261" customFormat="1"/>
    <row r="441" s="261" customFormat="1"/>
    <row r="442" s="261" customFormat="1"/>
    <row r="443" s="261" customFormat="1"/>
    <row r="444" s="261" customFormat="1"/>
    <row r="445" s="261" customFormat="1"/>
    <row r="446" s="261" customFormat="1"/>
    <row r="447" s="261" customFormat="1"/>
    <row r="448" s="261" customFormat="1"/>
    <row r="449" s="261" customFormat="1"/>
    <row r="450" s="261" customFormat="1"/>
    <row r="451" s="261" customFormat="1"/>
    <row r="452" s="261" customFormat="1"/>
    <row r="453" s="261" customFormat="1"/>
    <row r="454" s="261" customFormat="1"/>
    <row r="455" s="261" customFormat="1"/>
    <row r="456" s="261" customFormat="1"/>
    <row r="457" s="261" customFormat="1"/>
    <row r="458" s="261" customFormat="1"/>
    <row r="459" s="261" customFormat="1"/>
    <row r="460" s="261" customFormat="1"/>
    <row r="461" s="261" customFormat="1"/>
    <row r="462" s="261" customFormat="1"/>
    <row r="463" s="261" customFormat="1"/>
    <row r="464" s="261" customFormat="1"/>
    <row r="465" s="261" customFormat="1"/>
    <row r="466" s="261" customFormat="1"/>
    <row r="467" s="261" customFormat="1"/>
    <row r="468" s="261" customFormat="1"/>
    <row r="469" s="261" customFormat="1"/>
    <row r="470" s="261" customFormat="1"/>
    <row r="471" s="261" customFormat="1"/>
    <row r="472" s="261" customFormat="1"/>
    <row r="473" s="261" customFormat="1"/>
    <row r="474" s="261" customFormat="1"/>
    <row r="475" s="261" customFormat="1"/>
    <row r="476" s="261" customFormat="1"/>
    <row r="477" s="261" customFormat="1"/>
    <row r="478" s="261" customFormat="1"/>
    <row r="479" s="261" customFormat="1"/>
    <row r="480" s="261" customFormat="1"/>
    <row r="481" s="261" customFormat="1"/>
    <row r="482" s="261" customFormat="1"/>
    <row r="483" s="261" customFormat="1"/>
    <row r="484" s="261" customFormat="1"/>
    <row r="485" s="261" customFormat="1"/>
    <row r="486" s="261" customFormat="1"/>
    <row r="487" s="261" customFormat="1"/>
    <row r="488" s="261" customFormat="1"/>
    <row r="489" s="261" customFormat="1"/>
    <row r="490" s="261" customFormat="1"/>
    <row r="491" s="261" customFormat="1"/>
    <row r="492" s="261" customFormat="1"/>
    <row r="493" s="261" customFormat="1"/>
    <row r="494" s="261" customFormat="1"/>
    <row r="495" s="261" customFormat="1"/>
    <row r="496" s="261" customFormat="1"/>
    <row r="497" s="261" customFormat="1"/>
    <row r="498" s="261" customFormat="1"/>
    <row r="499" s="261" customFormat="1"/>
    <row r="500" s="261" customFormat="1"/>
    <row r="501" s="261" customFormat="1"/>
    <row r="502" s="261" customFormat="1"/>
    <row r="503" s="261" customFormat="1"/>
    <row r="504" s="261" customFormat="1"/>
    <row r="505" s="261" customFormat="1"/>
    <row r="506" s="261" customFormat="1"/>
    <row r="507" s="261" customFormat="1"/>
    <row r="508" s="261" customFormat="1"/>
    <row r="509" s="261" customFormat="1"/>
    <row r="510" s="261" customFormat="1"/>
    <row r="511" s="261" customFormat="1"/>
    <row r="512" s="261" customFormat="1"/>
    <row r="513" s="261" customFormat="1"/>
    <row r="514" s="261" customFormat="1"/>
    <row r="515" s="261" customFormat="1"/>
    <row r="516" s="261" customFormat="1"/>
    <row r="517" s="261" customFormat="1"/>
    <row r="518" s="261" customFormat="1"/>
    <row r="519" s="261" customFormat="1"/>
    <row r="520" s="261" customFormat="1"/>
    <row r="521" s="261" customFormat="1"/>
    <row r="522" s="261" customFormat="1"/>
    <row r="523" s="261" customFormat="1"/>
    <row r="524" s="261" customFormat="1"/>
    <row r="525" s="261" customFormat="1"/>
    <row r="526" s="261" customFormat="1"/>
    <row r="527" s="261" customFormat="1"/>
    <row r="528" s="261" customFormat="1"/>
    <row r="529" s="261" customFormat="1"/>
    <row r="530" s="261" customFormat="1"/>
    <row r="531" s="261" customFormat="1"/>
    <row r="532" s="261" customFormat="1"/>
    <row r="533" s="261" customFormat="1"/>
    <row r="534" s="261" customFormat="1"/>
    <row r="535" s="261" customFormat="1"/>
    <row r="536" s="261" customFormat="1"/>
    <row r="537" s="261" customFormat="1"/>
    <row r="538" s="261" customFormat="1"/>
    <row r="539" s="261" customFormat="1"/>
    <row r="540" s="261" customFormat="1"/>
    <row r="541" s="261" customFormat="1"/>
    <row r="542" s="261" customFormat="1"/>
    <row r="543" s="261" customFormat="1"/>
    <row r="544" s="261" customFormat="1"/>
    <row r="545" s="261" customFormat="1"/>
    <row r="546" s="261" customFormat="1"/>
    <row r="547" s="261" customFormat="1"/>
    <row r="548" s="261" customFormat="1"/>
    <row r="549" s="261" customFormat="1"/>
    <row r="550" s="261" customFormat="1"/>
    <row r="551" s="261" customFormat="1"/>
    <row r="552" s="261" customFormat="1"/>
    <row r="553" s="261" customFormat="1"/>
    <row r="554" s="261" customFormat="1"/>
    <row r="555" s="261" customFormat="1"/>
    <row r="556" s="261" customFormat="1"/>
    <row r="557" s="261" customFormat="1"/>
    <row r="558" s="261" customFormat="1"/>
    <row r="559" s="261" customFormat="1"/>
    <row r="560" s="261" customFormat="1"/>
    <row r="561" s="261" customFormat="1"/>
    <row r="562" s="261" customFormat="1"/>
    <row r="563" s="261" customFormat="1"/>
    <row r="564" s="261" customFormat="1"/>
    <row r="565" s="261" customFormat="1"/>
    <row r="566" s="261" customFormat="1"/>
    <row r="567" s="261" customFormat="1"/>
    <row r="568" s="261" customFormat="1"/>
    <row r="569" s="261" customFormat="1"/>
    <row r="570" s="261" customFormat="1"/>
    <row r="571" s="261" customFormat="1"/>
    <row r="572" s="261" customFormat="1"/>
    <row r="573" s="261" customFormat="1"/>
    <row r="574" s="261" customFormat="1"/>
    <row r="575" s="261" customFormat="1"/>
    <row r="576" s="261" customFormat="1"/>
    <row r="577" s="261" customFormat="1"/>
    <row r="578" s="261" customFormat="1"/>
    <row r="579" s="261" customFormat="1"/>
    <row r="580" s="261" customFormat="1"/>
    <row r="581" s="261" customFormat="1"/>
    <row r="582" s="261" customFormat="1"/>
    <row r="583" s="261" customFormat="1"/>
    <row r="584" s="261" customFormat="1"/>
    <row r="585" s="261" customFormat="1"/>
    <row r="586" s="261" customFormat="1"/>
    <row r="587" s="261" customFormat="1"/>
    <row r="588" s="261" customFormat="1"/>
    <row r="589" s="261" customFormat="1"/>
    <row r="590" s="261" customFormat="1"/>
    <row r="591" s="261" customFormat="1"/>
    <row r="592" s="261" customFormat="1"/>
    <row r="593" s="261" customFormat="1"/>
    <row r="594" s="261" customFormat="1"/>
    <row r="595" s="261" customFormat="1"/>
    <row r="596" s="261" customFormat="1"/>
    <row r="597" s="261" customFormat="1"/>
    <row r="598" s="261" customFormat="1"/>
    <row r="599" s="261" customFormat="1"/>
    <row r="600" s="261" customFormat="1"/>
    <row r="601" s="261" customFormat="1"/>
    <row r="602" s="261" customFormat="1"/>
    <row r="603" s="261" customFormat="1"/>
    <row r="604" s="261" customFormat="1"/>
    <row r="605" s="261" customFormat="1"/>
    <row r="606" s="261" customFormat="1"/>
    <row r="607" s="261" customFormat="1"/>
    <row r="608" s="261" customFormat="1"/>
    <row r="609" s="261" customFormat="1"/>
    <row r="610" s="261" customFormat="1"/>
    <row r="611" s="261" customFormat="1"/>
    <row r="612" s="261" customFormat="1"/>
    <row r="613" s="261" customFormat="1"/>
    <row r="614" s="261" customFormat="1"/>
    <row r="615" s="261" customFormat="1"/>
    <row r="616" s="261" customFormat="1"/>
    <row r="617" s="261" customFormat="1"/>
    <row r="618" s="261" customFormat="1"/>
    <row r="619" s="261" customFormat="1"/>
    <row r="620" s="261" customFormat="1"/>
    <row r="621" s="261" customFormat="1"/>
    <row r="622" s="261" customFormat="1"/>
    <row r="623" s="261" customFormat="1"/>
    <row r="624" s="261" customFormat="1"/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109"/>
  <sheetViews>
    <sheetView showGridLines="0" topLeftCell="C50" zoomScale="78" zoomScaleNormal="78" workbookViewId="0">
      <selection activeCell="I68" sqref="I6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.71093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0" t="s">
        <v>1080</v>
      </c>
      <c r="C1" s="1018"/>
      <c r="D1" s="931"/>
      <c r="E1" s="931"/>
      <c r="F1" s="1128" t="s">
        <v>873</v>
      </c>
      <c r="G1" s="1129">
        <f ca="1">LnkTXTIRTEco</f>
        <v>-0.10630000000000001</v>
      </c>
    </row>
    <row r="2" spans="2:19" ht="23.25" customHeight="1">
      <c r="B2" s="136" t="str">
        <f>CAPA!C9</f>
        <v>Coopermila</v>
      </c>
      <c r="C2" s="70"/>
      <c r="D2" s="70"/>
      <c r="E2" s="70"/>
      <c r="F2" s="120" t="s">
        <v>877</v>
      </c>
      <c r="G2" s="121">
        <f ca="1">LnkTXTIRTTotal</f>
        <v>-0.2195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6" t="s">
        <v>778</v>
      </c>
      <c r="C4" s="1176" t="s">
        <v>695</v>
      </c>
      <c r="D4" s="1176" t="s">
        <v>696</v>
      </c>
      <c r="G4" s="68"/>
      <c r="H4" s="124"/>
      <c r="K4" s="1176" t="s">
        <v>895</v>
      </c>
      <c r="L4" s="1176" t="s">
        <v>695</v>
      </c>
      <c r="M4" s="1176" t="s">
        <v>898</v>
      </c>
      <c r="P4" s="68" t="s">
        <v>1083</v>
      </c>
    </row>
    <row r="5" spans="2:19">
      <c r="B5" s="1177" t="s">
        <v>1084</v>
      </c>
      <c r="C5" s="1178">
        <f ca="1">C6+C9</f>
        <v>18985.092507623318</v>
      </c>
      <c r="D5" s="1178">
        <f ca="1">SUM(D6,D9)</f>
        <v>18985.092507623318</v>
      </c>
      <c r="G5" s="68"/>
      <c r="K5" s="68" t="s">
        <v>781</v>
      </c>
      <c r="L5" s="92">
        <f ca="1">M5</f>
        <v>18010.933000000005</v>
      </c>
      <c r="M5" s="139">
        <f ca="1">FornecimentoE</f>
        <v>18010.933000000005</v>
      </c>
      <c r="P5" s="68" t="s">
        <v>1085</v>
      </c>
    </row>
    <row r="6" spans="2:19">
      <c r="B6" s="1179" t="s">
        <v>1086</v>
      </c>
      <c r="C6" s="1180">
        <f ca="1">LnkTXTEV</f>
        <v>18010.933000000005</v>
      </c>
      <c r="D6" s="1180">
        <f ca="1">SUM(D7:D8)</f>
        <v>18010.933000000005</v>
      </c>
      <c r="F6" s="1447">
        <f ca="1">C24/LnkTXTEV-1</f>
        <v>5.4087120729576554E-2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18010.933000000005</v>
      </c>
      <c r="D7" s="144">
        <f ca="1">M5</f>
        <v>18010.933000000005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79" t="s">
        <v>1091</v>
      </c>
      <c r="C9" s="1180">
        <f ca="1">SUM(C10:C13)</f>
        <v>974.15950762331363</v>
      </c>
      <c r="D9" s="1180">
        <f ca="1">SUM(D10:D13)</f>
        <v>974.15950762331363</v>
      </c>
      <c r="G9" s="68"/>
      <c r="K9" s="784" t="s">
        <v>1092</v>
      </c>
      <c r="L9" s="1552">
        <f t="shared" ca="1" si="0"/>
        <v>6753.3220000000001</v>
      </c>
      <c r="M9" s="1181">
        <f ca="1">FornecimentoE_BT</f>
        <v>6753.3220000000001</v>
      </c>
      <c r="P9" s="68" t="s">
        <v>1093</v>
      </c>
    </row>
    <row r="10" spans="2:19">
      <c r="B10" s="1188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974.15950762331363</v>
      </c>
      <c r="D11" s="144">
        <f ca="1">N17</f>
        <v>974.15950762331363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5.6021364992628331E-2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2" t="s">
        <v>1098</v>
      </c>
      <c r="N12" s="1183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5.6021364992628331E-2</v>
      </c>
      <c r="R13" s="69">
        <f ca="1">($M$5+$M$6-$M$8)*Q13/(1-Q13)</f>
        <v>1068.8770000000002</v>
      </c>
    </row>
    <row r="14" spans="2:19">
      <c r="B14" s="1184" t="s">
        <v>1100</v>
      </c>
      <c r="C14" s="1185">
        <f>VLOOKUP("custo Médio",DRA_CM_Perdas[#All],3,FALSE)</f>
        <v>296.10742278035502</v>
      </c>
      <c r="D14" s="1185">
        <f ca="1">IFERROR(E24,0)</f>
        <v>190.82333704258912</v>
      </c>
      <c r="E14" s="127"/>
      <c r="F14" s="127"/>
      <c r="G14" s="127"/>
      <c r="K14" s="68" t="s">
        <v>1104</v>
      </c>
      <c r="L14" s="393">
        <f>VLOOKUP("PERDAS TÉCNICAS",DRA_CM_Perdas[#All],3,FALSE)</f>
        <v>5.1311812530391798E-2</v>
      </c>
      <c r="M14" s="393">
        <f>IF(CAPA!H29=0,CAPA!K34,CAPA!H29)</f>
        <v>5.1311812530391798E-2</v>
      </c>
      <c r="N14" s="393">
        <f ca="1">IFERROR(N17/((M5+M6-M8+N16)+N17),0)</f>
        <v>5.1311812530391798E-2</v>
      </c>
      <c r="P14" s="68" t="s">
        <v>1105</v>
      </c>
      <c r="Q14" s="492">
        <f ca="1">(M17+M16)/(M16+M17+M5+M6)</f>
        <v>5.1311812530391798E-2</v>
      </c>
      <c r="R14" s="69">
        <f ca="1">IF(CAPA!H33="",(M5+M6-M8)/(1-M14)*M14,CAPA!H33)+IF(CAPA!H34="",M13*M9,CAPA!H34)</f>
        <v>974.15950762331363</v>
      </c>
    </row>
    <row r="15" spans="2:19">
      <c r="B15" s="1186" t="s">
        <v>1103</v>
      </c>
      <c r="C15" s="1187">
        <f ca="1">C14*C5</f>
        <v>5621626.8136789687</v>
      </c>
      <c r="D15" s="1187">
        <f ca="1">D14*D5</f>
        <v>3622798.7063669376</v>
      </c>
      <c r="E15" s="79"/>
      <c r="F15" s="72"/>
      <c r="G15" s="126"/>
      <c r="K15" s="784" t="s">
        <v>1106</v>
      </c>
      <c r="L15" s="1728">
        <f>VLOOKUP("PERDAS NA RB (sobre as perdas na D)",DRA_CM_Perdas[#All],3,FALSE)</f>
        <v>0</v>
      </c>
      <c r="M15" s="1448">
        <f>IF(CAPA!H31=0,0,CAPA!H31)</f>
        <v>0</v>
      </c>
      <c r="N15" s="1553">
        <f ca="1">IFERROR(M22/(M5+M6+M23+N17+N16),0)</f>
        <v>0</v>
      </c>
      <c r="P15" s="68" t="s">
        <v>1107</v>
      </c>
      <c r="Q15" s="79">
        <f ca="1">IF(Q14&lt;Q13,Q14,Q13)</f>
        <v>5.1311812530391798E-2</v>
      </c>
      <c r="R15" s="69">
        <f ca="1">IF(R14&lt;R13,R14,R13)</f>
        <v>974.15950762331363</v>
      </c>
      <c r="S15" s="79">
        <f ca="1">R15/(M5+R15)</f>
        <v>5.1311812530391798E-2</v>
      </c>
    </row>
    <row r="16" spans="2:19">
      <c r="I16" s="68">
        <v>0</v>
      </c>
      <c r="K16" s="1188" t="s">
        <v>1109</v>
      </c>
      <c r="L16" s="1188">
        <f ca="1">L13*L9</f>
        <v>0</v>
      </c>
      <c r="M16" s="1188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5.1311812530391798E-2</v>
      </c>
      <c r="R16" s="69">
        <f ca="1">($M$5+$M$6-$M$8+R15)*Q16</f>
        <v>974.15950762331363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974.15950762331363</v>
      </c>
      <c r="M17" s="139">
        <f ca="1">IF(CAPA!H33="",(M5+M6-M8+M16)/(1-M14)*M14,CAPA!H33)</f>
        <v>974.15950762331363</v>
      </c>
      <c r="N17" s="465">
        <f ca="1">IF($M$21&lt;$M$20,M17,($M$20/$M$21)*M17)+M23</f>
        <v>974.15950762331363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6" t="s">
        <v>1111</v>
      </c>
      <c r="C18" s="1176" t="s">
        <v>1112</v>
      </c>
      <c r="D18" s="1176"/>
      <c r="E18" s="1176" t="s">
        <v>1113</v>
      </c>
      <c r="F18" s="1176" t="s">
        <v>1114</v>
      </c>
      <c r="G18" s="761"/>
      <c r="H18" s="763"/>
      <c r="I18" s="132"/>
      <c r="K18" s="139" t="s">
        <v>1094</v>
      </c>
      <c r="L18" s="465">
        <f ca="1">SUM(L16:L17)*L15</f>
        <v>0</v>
      </c>
      <c r="M18" s="465"/>
      <c r="N18" s="1474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0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2"/>
      <c r="H19" s="763"/>
      <c r="K19" s="1181" t="s">
        <v>1097</v>
      </c>
      <c r="L19" s="1449">
        <f ca="1">(L5+L6)*L15</f>
        <v>0</v>
      </c>
      <c r="M19" s="1449"/>
      <c r="N19" s="1475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266.3712037912012</v>
      </c>
      <c r="D20" s="88"/>
      <c r="E20" s="88">
        <v>0</v>
      </c>
      <c r="F20" s="77">
        <v>0</v>
      </c>
      <c r="G20" s="762"/>
      <c r="H20" s="763"/>
      <c r="J20" s="132"/>
      <c r="K20" s="139" t="s">
        <v>1118</v>
      </c>
      <c r="L20" s="139"/>
      <c r="M20" s="139">
        <f>'Perdas de Energia'!I18</f>
        <v>1068.8770000000002</v>
      </c>
      <c r="N20" s="465"/>
      <c r="O20" s="140"/>
    </row>
    <row r="21" spans="1:22">
      <c r="B21" s="78" t="str">
        <f>B63</f>
        <v>Angra</v>
      </c>
      <c r="C21" s="251">
        <f ca="1">C63*N30</f>
        <v>446.4798655859484</v>
      </c>
      <c r="D21" s="88"/>
      <c r="E21" s="88">
        <f>E63</f>
        <v>349.15</v>
      </c>
      <c r="F21" s="77">
        <f ca="1">E21*C21</f>
        <v>155888.44506933389</v>
      </c>
      <c r="G21" s="762"/>
      <c r="H21" s="763"/>
      <c r="K21" s="1181" t="s">
        <v>1119</v>
      </c>
      <c r="L21" s="1181"/>
      <c r="M21" s="1181">
        <f ca="1">M16+M17</f>
        <v>974.15950762331363</v>
      </c>
      <c r="N21" s="1449"/>
    </row>
    <row r="22" spans="1:22">
      <c r="B22" s="78" t="str">
        <f>B64</f>
        <v>CCGF</v>
      </c>
      <c r="C22" s="251">
        <f ca="1">(C64+C65)*N30</f>
        <v>2373.9844923691503</v>
      </c>
      <c r="D22" s="88"/>
      <c r="E22" s="88">
        <f>IFERROR((F64+F65)/(#REF!+C64),0)</f>
        <v>0</v>
      </c>
      <c r="F22" s="77">
        <f ca="1">E22*C22</f>
        <v>0</v>
      </c>
      <c r="G22" s="762"/>
      <c r="H22" s="763"/>
      <c r="K22" s="68" t="s">
        <v>2051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15898.256945877018</v>
      </c>
      <c r="D23" s="88"/>
      <c r="E23" s="88">
        <f ca="1">IF(K60=0,H35,(N48+N60)/(M48+M60))</f>
        <v>218.06857651754689</v>
      </c>
      <c r="F23" s="77">
        <f ca="1">E23*C23</f>
        <v>3466910.2612976036</v>
      </c>
      <c r="G23" s="762"/>
      <c r="H23" s="763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89" t="s">
        <v>1121</v>
      </c>
      <c r="C24" s="1190">
        <f ca="1">SUM(C19:C23)</f>
        <v>18985.092507623318</v>
      </c>
      <c r="D24" s="1191"/>
      <c r="E24" s="1191">
        <f ca="1">IF(SUM(C19:C23)=0,0,SUM(F19:F23)/SUM(C19:C23))</f>
        <v>190.82333704258912</v>
      </c>
      <c r="F24" s="1192">
        <f ca="1">SUM(F19:F23)</f>
        <v>3622798.7063669376</v>
      </c>
      <c r="G24" s="762"/>
      <c r="H24" s="806"/>
      <c r="J24" s="72"/>
      <c r="K24" s="1574"/>
      <c r="L24" s="1574"/>
      <c r="M24" s="1193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75"/>
    </row>
    <row r="26" spans="1:22">
      <c r="A26" s="74"/>
      <c r="B26" s="837" t="s">
        <v>2050</v>
      </c>
      <c r="F26" s="90"/>
      <c r="G26" s="90"/>
      <c r="H26" s="72"/>
      <c r="I26" s="72"/>
      <c r="K26" s="100"/>
      <c r="L26" s="100"/>
      <c r="M26" s="287"/>
    </row>
    <row r="27" spans="1:22" ht="24" customHeight="1">
      <c r="B27" s="1194" t="s">
        <v>27</v>
      </c>
      <c r="C27" s="1194" t="s">
        <v>875</v>
      </c>
      <c r="D27" s="1194" t="s">
        <v>1122</v>
      </c>
      <c r="E27" s="1194" t="s">
        <v>898</v>
      </c>
      <c r="F27" s="1194" t="s">
        <v>1123</v>
      </c>
      <c r="G27" s="1195" t="s">
        <v>1124</v>
      </c>
      <c r="H27" s="1195" t="s">
        <v>1125</v>
      </c>
      <c r="I27" s="1195" t="s">
        <v>1126</v>
      </c>
      <c r="K27" s="128"/>
      <c r="L27" s="1576"/>
      <c r="M27" s="100"/>
      <c r="N27" s="100"/>
    </row>
    <row r="28" spans="1:22">
      <c r="A28" s="74">
        <v>5697</v>
      </c>
      <c r="B28" s="512" t="s">
        <v>2342</v>
      </c>
      <c r="C28" s="512" t="s">
        <v>2036</v>
      </c>
      <c r="D28" s="512">
        <f>IF(B28="","",SUMIFS(Faturas!V:V,Faturas!U:U,"Consumo*",Faturas!S:S,Energia!C28,Faturas!R:R,Energia!B28))</f>
        <v>17344172</v>
      </c>
      <c r="E28" s="512">
        <f t="shared" ref="E28:E34" si="1">IF(B28="","",D28/1000)</f>
        <v>17344.171999999999</v>
      </c>
      <c r="F28" s="600">
        <v>0</v>
      </c>
      <c r="G28" s="513">
        <f>IFERROR(VLOOKUP(CONCATENATE(A28,A78),BD!$H$43:$S$59,12,FALSE),"")</f>
        <v>284.99</v>
      </c>
      <c r="H28" s="513">
        <f t="shared" ref="H28:H34" si="2">IF(B28="","",IFERROR(G28*(1-F28),0))</f>
        <v>284.99</v>
      </c>
      <c r="I28" s="511">
        <f>SUMIFS(DescontoEnergia[Desconto],DescontoEnergia[idSupridora],Energia!A28,DescontoEnergia[Nível],Energia!C28)</f>
        <v>3.3399999999999999E-2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6" t="s">
        <v>22</v>
      </c>
      <c r="L29" s="1197" t="s">
        <v>1128</v>
      </c>
      <c r="M29" s="1197" t="s">
        <v>1129</v>
      </c>
      <c r="N29" s="1198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18076.69420346</v>
      </c>
      <c r="M30" s="92">
        <f ca="1">LnkTXTER-LnkTXTProinfa</f>
        <v>18718.721303832117</v>
      </c>
      <c r="N30" s="210">
        <f ca="1">M30/L30</f>
        <v>1.0355168424683108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2"/>
      <c r="L31" s="794"/>
      <c r="M31" s="793"/>
      <c r="N31" s="795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17"/>
      <c r="L32" s="1817"/>
      <c r="M32" s="796"/>
      <c r="N32" s="796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7"/>
      <c r="L33" s="798"/>
      <c r="M33" s="796"/>
      <c r="N33" s="794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4" t="s">
        <v>2161</v>
      </c>
      <c r="L34" s="1555"/>
      <c r="M34" s="746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17344172</v>
      </c>
      <c r="E35" s="732">
        <f>SUM(E28:E34)</f>
        <v>17344.171999999999</v>
      </c>
      <c r="F35" s="729"/>
      <c r="G35" s="726">
        <f>IFERROR(SUMPRODUCT(G28:G34,E28:E34)/SUM(E28:E34),0)</f>
        <v>284.99</v>
      </c>
      <c r="H35" s="727">
        <f>IFERROR(SUMPRODUCT(H28:H34,E28:E34)/SUM(E28:E34),0)</f>
        <v>284.99</v>
      </c>
      <c r="I35" s="726"/>
      <c r="K35" s="1556" t="s">
        <v>2162</v>
      </c>
      <c r="L35" s="1557">
        <f ca="1">(L16+L17+L18+L19)/LnkTXTEV</f>
        <v>5.4087120729576499E-2</v>
      </c>
      <c r="M35" s="746"/>
      <c r="N35" s="747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7" t="s">
        <v>2047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7" t="s">
        <v>2048</v>
      </c>
      <c r="C39" s="69"/>
      <c r="G39" s="135"/>
      <c r="O39" s="128"/>
    </row>
    <row r="40" spans="1:22" ht="15.75">
      <c r="A40" s="74"/>
      <c r="B40" s="1199" t="s">
        <v>778</v>
      </c>
      <c r="C40" s="1200" t="s">
        <v>1132</v>
      </c>
      <c r="D40" s="1201"/>
      <c r="E40" s="1200" t="s">
        <v>62</v>
      </c>
      <c r="F40" s="1200" t="s">
        <v>61</v>
      </c>
      <c r="G40" s="1763" t="s">
        <v>1133</v>
      </c>
      <c r="H40" s="1763" t="s">
        <v>1134</v>
      </c>
      <c r="I40" s="1200" t="s">
        <v>1135</v>
      </c>
      <c r="J40" s="1200" t="s">
        <v>898</v>
      </c>
      <c r="K40" s="1200" t="s">
        <v>1136</v>
      </c>
      <c r="L40" s="1200" t="s">
        <v>1137</v>
      </c>
      <c r="M40" s="1200" t="s">
        <v>1138</v>
      </c>
      <c r="N40" s="1200" t="s">
        <v>1139</v>
      </c>
      <c r="O40" s="128"/>
    </row>
    <row r="41" spans="1:22">
      <c r="A41" s="74"/>
      <c r="B41" s="789" t="str">
        <f>B28</f>
        <v>CELESC DISTRIBUIÇÃO S.A</v>
      </c>
      <c r="C41" s="789"/>
      <c r="D41" s="789"/>
      <c r="E41" s="1734">
        <f>G35</f>
        <v>284.99</v>
      </c>
      <c r="F41" s="1735"/>
      <c r="G41" s="1736"/>
      <c r="H41" s="1737"/>
      <c r="I41" s="1734">
        <v>365</v>
      </c>
      <c r="J41" s="1771">
        <f>D109</f>
        <v>6879.0720000000001</v>
      </c>
      <c r="K41" s="1732">
        <f>H35</f>
        <v>284.99</v>
      </c>
      <c r="L41" s="790">
        <f>IFERROR(J41*K41,0)</f>
        <v>1960466.7292800001</v>
      </c>
      <c r="M41" s="799">
        <f t="shared" ref="M41:M47" ca="1" si="7">IFERROR(J41*$N$30,0)</f>
        <v>7123.3949165521681</v>
      </c>
      <c r="N41" s="790">
        <f ca="1">IFERROR(K41*M41,0)</f>
        <v>2030096.3172682025</v>
      </c>
      <c r="O41" s="128"/>
    </row>
    <row r="42" spans="1:22">
      <c r="A42" s="74"/>
      <c r="B42" s="789"/>
      <c r="C42" s="789"/>
      <c r="D42" s="789"/>
      <c r="E42" s="1734"/>
      <c r="F42" s="1735"/>
      <c r="G42" s="1736"/>
      <c r="H42" s="1737"/>
      <c r="I42" s="1738"/>
      <c r="J42" s="1730"/>
      <c r="K42" s="1732">
        <f>H8</f>
        <v>0</v>
      </c>
      <c r="L42" s="790">
        <f>IFERROR(J42*K42,0)</f>
        <v>0</v>
      </c>
      <c r="M42" s="799">
        <f t="shared" ca="1" si="7"/>
        <v>0</v>
      </c>
      <c r="N42" s="790">
        <f ca="1">IFERROR(K42*M42,0)</f>
        <v>0</v>
      </c>
      <c r="O42" s="128"/>
    </row>
    <row r="43" spans="1:22">
      <c r="A43" s="74"/>
      <c r="B43" s="789"/>
      <c r="C43" s="789"/>
      <c r="D43" s="789" t="s">
        <v>114</v>
      </c>
      <c r="E43" s="1734" t="str">
        <f>IF(B43="","",D43/1000)</f>
        <v/>
      </c>
      <c r="F43" s="1735" t="str">
        <f>IF(B43="","",I43)</f>
        <v/>
      </c>
      <c r="G43" s="1736" t="s">
        <v>114</v>
      </c>
      <c r="H43" s="1737"/>
      <c r="I43" s="1734"/>
      <c r="J43" s="1730"/>
      <c r="K43" s="1732">
        <f>IFERROR(E43*(VLOOKUP(EDATE(G43,-1),Índices!#REF!,3,FALSE)/VLOOKUP(EDATE(F43,-1),Índices!#REF!,3,FALSE)),0)</f>
        <v>0</v>
      </c>
      <c r="L43" s="790">
        <f t="shared" ref="L43:L47" si="8">J43*K43</f>
        <v>0</v>
      </c>
      <c r="M43" s="799">
        <f t="shared" ca="1" si="7"/>
        <v>0</v>
      </c>
      <c r="N43" s="790">
        <f t="shared" ref="N43:N47" ca="1" si="9">K43*M43</f>
        <v>0</v>
      </c>
      <c r="O43" s="128"/>
    </row>
    <row r="44" spans="1:22">
      <c r="A44" s="74"/>
      <c r="B44" s="789"/>
      <c r="C44" s="789"/>
      <c r="D44" s="789" t="s">
        <v>114</v>
      </c>
      <c r="E44" s="1734" t="str">
        <f>IF(B44="","",D44/1000)</f>
        <v/>
      </c>
      <c r="F44" s="1735" t="str">
        <f>IF(B44="","",I44)</f>
        <v/>
      </c>
      <c r="G44" s="1736" t="s">
        <v>114</v>
      </c>
      <c r="H44" s="1737"/>
      <c r="I44" s="1734"/>
      <c r="J44" s="1730"/>
      <c r="K44" s="1732">
        <f>IFERROR(E44*(VLOOKUP(EDATE(G44,-1),Índices!#REF!,3,FALSE)/VLOOKUP(EDATE(F44,-1),Índices!#REF!,3,FALSE)),0)</f>
        <v>0</v>
      </c>
      <c r="L44" s="790">
        <f t="shared" si="8"/>
        <v>0</v>
      </c>
      <c r="M44" s="799">
        <f t="shared" ca="1" si="7"/>
        <v>0</v>
      </c>
      <c r="N44" s="790">
        <f ca="1">K44*M44</f>
        <v>0</v>
      </c>
      <c r="O44" s="128"/>
    </row>
    <row r="45" spans="1:22">
      <c r="A45" s="74"/>
      <c r="B45" s="789"/>
      <c r="C45" s="789"/>
      <c r="D45" s="789" t="s">
        <v>114</v>
      </c>
      <c r="E45" s="1734" t="str">
        <f>IF(B45="","",D45/1000)</f>
        <v/>
      </c>
      <c r="F45" s="1735" t="str">
        <f>IF(B45="","",I45)</f>
        <v/>
      </c>
      <c r="G45" s="1736" t="s">
        <v>114</v>
      </c>
      <c r="H45" s="1737"/>
      <c r="I45" s="1734"/>
      <c r="J45" s="1730"/>
      <c r="K45" s="1732">
        <f>IFERROR(E45*(VLOOKUP(EDATE(G45,-1),Índices!#REF!,3,FALSE)/VLOOKUP(EDATE(F45,-1),Índices!#REF!,3,FALSE)),0)</f>
        <v>0</v>
      </c>
      <c r="L45" s="790">
        <f t="shared" si="8"/>
        <v>0</v>
      </c>
      <c r="M45" s="799">
        <f t="shared" ca="1" si="7"/>
        <v>0</v>
      </c>
      <c r="N45" s="790">
        <f t="shared" ca="1" si="9"/>
        <v>0</v>
      </c>
      <c r="O45" s="128"/>
    </row>
    <row r="46" spans="1:22">
      <c r="A46" s="74"/>
      <c r="B46" s="789"/>
      <c r="C46" s="789"/>
      <c r="D46" s="789" t="s">
        <v>114</v>
      </c>
      <c r="E46" s="1734" t="str">
        <f>IF(B46="","",D46/1000)</f>
        <v/>
      </c>
      <c r="F46" s="1735" t="str">
        <f>IF(B46="","",I46)</f>
        <v/>
      </c>
      <c r="G46" s="1736" t="s">
        <v>114</v>
      </c>
      <c r="H46" s="1737"/>
      <c r="I46" s="1734"/>
      <c r="J46" s="1730"/>
      <c r="K46" s="1732">
        <f>IFERROR(E46*(VLOOKUP(EDATE(G46,-1),Índices!#REF!,3,FALSE)/VLOOKUP(EDATE(F46,-1),Índices!#REF!,3,FALSE)),0)</f>
        <v>0</v>
      </c>
      <c r="L46" s="790">
        <f t="shared" si="8"/>
        <v>0</v>
      </c>
      <c r="M46" s="799">
        <f t="shared" ca="1" si="7"/>
        <v>0</v>
      </c>
      <c r="N46" s="790">
        <f t="shared" ca="1" si="9"/>
        <v>0</v>
      </c>
      <c r="O46" s="128"/>
    </row>
    <row r="47" spans="1:22">
      <c r="A47" s="74"/>
      <c r="B47" s="789"/>
      <c r="C47" s="789"/>
      <c r="D47" s="789" t="s">
        <v>114</v>
      </c>
      <c r="E47" s="1734" t="str">
        <f>IF(B47="","",D47/1000)</f>
        <v/>
      </c>
      <c r="F47" s="1735" t="str">
        <f>IF(B47="","",I47)</f>
        <v/>
      </c>
      <c r="G47" s="1736" t="s">
        <v>114</v>
      </c>
      <c r="H47" s="1737"/>
      <c r="I47" s="1734"/>
      <c r="J47" s="1730"/>
      <c r="K47" s="1732">
        <f>IFERROR(E47*(VLOOKUP(EDATE(G47,-1),Índices!#REF!,3,FALSE)/VLOOKUP(EDATE(F47,-1),Índices!#REF!,3,FALSE)),0)</f>
        <v>0</v>
      </c>
      <c r="L47" s="790">
        <f t="shared" si="8"/>
        <v>0</v>
      </c>
      <c r="M47" s="799">
        <f t="shared" ca="1" si="7"/>
        <v>0</v>
      </c>
      <c r="N47" s="790">
        <f t="shared" ca="1" si="9"/>
        <v>0</v>
      </c>
      <c r="O47" s="128"/>
    </row>
    <row r="48" spans="1:22">
      <c r="A48" s="74"/>
      <c r="B48" s="1202" t="s">
        <v>769</v>
      </c>
      <c r="C48" s="1203"/>
      <c r="D48" s="1203"/>
      <c r="E48" s="1202"/>
      <c r="F48" s="1202"/>
      <c r="G48" s="1204"/>
      <c r="H48" s="1202"/>
      <c r="I48" s="1202"/>
      <c r="J48" s="1205">
        <f>SUM(J41:J47)</f>
        <v>6879.0720000000001</v>
      </c>
      <c r="K48" s="1206">
        <f ca="1">IFERROR(SUMPRODUCT(K41:K47,M41:M47)/SUM(M41:M47),0)</f>
        <v>284.99</v>
      </c>
      <c r="L48" s="1202"/>
      <c r="M48" s="1207">
        <f ca="1">SUM(M41:M47)</f>
        <v>7123.3949165521681</v>
      </c>
      <c r="N48" s="1207">
        <f ca="1">SUM(N41:N47)</f>
        <v>2030096.3172682025</v>
      </c>
      <c r="O48" s="128"/>
    </row>
    <row r="49" spans="1:22" ht="24" customHeight="1">
      <c r="A49" s="74"/>
      <c r="C49" s="68"/>
      <c r="H49" s="68">
        <f>31+28+31+30+31+30+31+31</f>
        <v>243</v>
      </c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7" t="s">
        <v>2049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199" t="s">
        <v>778</v>
      </c>
      <c r="C52" s="1200" t="s">
        <v>1132</v>
      </c>
      <c r="D52" s="1201"/>
      <c r="E52" s="1200" t="s">
        <v>62</v>
      </c>
      <c r="F52" s="1200" t="s">
        <v>61</v>
      </c>
      <c r="G52" s="1200" t="s">
        <v>1133</v>
      </c>
      <c r="H52" s="1200" t="s">
        <v>1134</v>
      </c>
      <c r="I52" s="1200" t="s">
        <v>1135</v>
      </c>
      <c r="J52" s="1200" t="s">
        <v>898</v>
      </c>
      <c r="K52" s="1200" t="s">
        <v>1136</v>
      </c>
      <c r="L52" s="1200" t="s">
        <v>1137</v>
      </c>
      <c r="M52" s="1200" t="s">
        <v>1138</v>
      </c>
      <c r="N52" s="1200" t="s">
        <v>1139</v>
      </c>
      <c r="O52" s="128"/>
      <c r="V52" s="140" t="e">
        <f ca="1">V34-V51</f>
        <v>#VALUE!</v>
      </c>
    </row>
    <row r="53" spans="1:22" ht="18" customHeight="1">
      <c r="A53" s="74"/>
      <c r="B53" s="789" t="s">
        <v>2383</v>
      </c>
      <c r="C53" s="789"/>
      <c r="D53" s="789"/>
      <c r="E53" s="1734">
        <v>154.25</v>
      </c>
      <c r="F53" s="1735">
        <v>44501</v>
      </c>
      <c r="G53" s="1736">
        <v>44805</v>
      </c>
      <c r="H53" s="1772">
        <v>1.4530000000000001</v>
      </c>
      <c r="I53" s="1773">
        <v>243</v>
      </c>
      <c r="J53" s="1771">
        <f>H53*I53*24</f>
        <v>8473.8960000000006</v>
      </c>
      <c r="K53" s="1732">
        <f>IFERROR(E53*(VLOOKUP(EDATE(G53,-1),Índices!B5:D499,3,FALSE)/VLOOKUP(EDATE(F53,-1),Índices!B5:D499,3,FALSE)),0)</f>
        <v>163.74205534260139</v>
      </c>
      <c r="L53" s="790">
        <f>IFERROR(J53*K53,0)</f>
        <v>1387533.1477994486</v>
      </c>
      <c r="M53" s="799">
        <f t="shared" ref="M53:M59" ca="1" si="10">IFERROR(J53*$N$30,0)</f>
        <v>8774.8620293248496</v>
      </c>
      <c r="N53" s="790">
        <f ca="1">IFERROR(K53*M53,0)</f>
        <v>1436813.9440294011</v>
      </c>
      <c r="O53" s="134"/>
    </row>
    <row r="54" spans="1:22">
      <c r="B54" s="789"/>
      <c r="C54" s="789"/>
      <c r="D54" s="789"/>
      <c r="E54" s="1734"/>
      <c r="F54" s="1735"/>
      <c r="G54" s="1736"/>
      <c r="H54" s="1737"/>
      <c r="I54" s="1733"/>
      <c r="J54" s="1730"/>
      <c r="K54" s="1732" t="str">
        <f>H29</f>
        <v/>
      </c>
      <c r="L54" s="790">
        <f>IFERROR(J54*K54,0)</f>
        <v>0</v>
      </c>
      <c r="M54" s="799">
        <f t="shared" ca="1" si="10"/>
        <v>0</v>
      </c>
      <c r="N54" s="790">
        <f ca="1">IFERROR(K54*M54,0)</f>
        <v>0</v>
      </c>
      <c r="V54" s="68">
        <v>7728827.6146981604</v>
      </c>
    </row>
    <row r="55" spans="1:22">
      <c r="B55" s="789"/>
      <c r="C55" s="789"/>
      <c r="D55" s="789" t="s">
        <v>114</v>
      </c>
      <c r="E55" s="1734" t="str">
        <f>IF(B55="","",D55/1000)</f>
        <v/>
      </c>
      <c r="F55" s="1735" t="str">
        <f>IF(B55="","",I55)</f>
        <v/>
      </c>
      <c r="G55" s="1736" t="s">
        <v>114</v>
      </c>
      <c r="H55" s="1737"/>
      <c r="I55" s="1731"/>
      <c r="J55" s="1730"/>
      <c r="K55" s="1732">
        <f>IFERROR(E55*(VLOOKUP(EDATE(G55,-1),Índices!B7:D501,3,FALSE)/VLOOKUP(EDATE(F55,-1),Índices!B7:D501,3,FALSE)),0)</f>
        <v>0</v>
      </c>
      <c r="L55" s="790">
        <f t="shared" ref="L55:L59" si="11">J55*K55</f>
        <v>0</v>
      </c>
      <c r="M55" s="799">
        <f t="shared" ca="1" si="10"/>
        <v>0</v>
      </c>
      <c r="N55" s="790">
        <f t="shared" ref="N55:N59" ca="1" si="12">K55*M55</f>
        <v>0</v>
      </c>
    </row>
    <row r="56" spans="1:22">
      <c r="B56" s="789"/>
      <c r="C56" s="789"/>
      <c r="D56" s="789" t="s">
        <v>114</v>
      </c>
      <c r="E56" s="1734" t="str">
        <f>IF(B56="","",D56/1000)</f>
        <v/>
      </c>
      <c r="F56" s="1735" t="str">
        <f>IF(B56="","",I56)</f>
        <v/>
      </c>
      <c r="G56" s="1736" t="s">
        <v>114</v>
      </c>
      <c r="H56" s="1737"/>
      <c r="I56" s="1731"/>
      <c r="J56" s="1730"/>
      <c r="K56" s="1732">
        <f>IFERROR(E56*(VLOOKUP(EDATE(G56,-1),Índices!B8:D502,3,FALSE)/VLOOKUP(EDATE(F56,-1),Índices!B8:D502,3,FALSE)),0)</f>
        <v>0</v>
      </c>
      <c r="L56" s="790">
        <f t="shared" si="11"/>
        <v>0</v>
      </c>
      <c r="M56" s="799">
        <f t="shared" ca="1" si="10"/>
        <v>0</v>
      </c>
      <c r="N56" s="790">
        <f t="shared" ca="1" si="12"/>
        <v>0</v>
      </c>
      <c r="V56" s="140" t="e">
        <f ca="1">V52+V54</f>
        <v>#VALUE!</v>
      </c>
    </row>
    <row r="57" spans="1:22">
      <c r="B57" s="789"/>
      <c r="C57" s="789"/>
      <c r="D57" s="789" t="s">
        <v>114</v>
      </c>
      <c r="E57" s="1734" t="str">
        <f>IF(B57="","",D57/1000)</f>
        <v/>
      </c>
      <c r="F57" s="1735" t="str">
        <f>IF(B57="","",I57)</f>
        <v/>
      </c>
      <c r="G57" s="1736" t="s">
        <v>114</v>
      </c>
      <c r="H57" s="1737"/>
      <c r="I57" s="1731"/>
      <c r="J57" s="1730"/>
      <c r="K57" s="1732">
        <f>IFERROR(E57*(VLOOKUP(EDATE(G57,-1),Índices!B9:D503,3,FALSE)/VLOOKUP(EDATE(F57,-1),Índices!B9:D503,3,FALSE)),0)</f>
        <v>0</v>
      </c>
      <c r="L57" s="790">
        <f t="shared" si="11"/>
        <v>0</v>
      </c>
      <c r="M57" s="799">
        <f t="shared" ca="1" si="10"/>
        <v>0</v>
      </c>
      <c r="N57" s="790">
        <f t="shared" ca="1" si="12"/>
        <v>0</v>
      </c>
    </row>
    <row r="58" spans="1:22">
      <c r="B58" s="789"/>
      <c r="C58" s="789"/>
      <c r="D58" s="789" t="s">
        <v>114</v>
      </c>
      <c r="E58" s="1734" t="str">
        <f>IF(B58="","",D58/1000)</f>
        <v/>
      </c>
      <c r="F58" s="1735" t="str">
        <f>IF(B58="","",I58)</f>
        <v/>
      </c>
      <c r="G58" s="1736" t="s">
        <v>114</v>
      </c>
      <c r="H58" s="1737"/>
      <c r="I58" s="1731"/>
      <c r="J58" s="1730"/>
      <c r="K58" s="1732">
        <f>IFERROR(E58*(VLOOKUP(EDATE(G58,-1),Índices!B10:D504,3,FALSE)/VLOOKUP(EDATE(F58,-1),Índices!B10:D504,3,FALSE)),0)</f>
        <v>0</v>
      </c>
      <c r="L58" s="790">
        <f t="shared" si="11"/>
        <v>0</v>
      </c>
      <c r="M58" s="799">
        <f t="shared" ca="1" si="10"/>
        <v>0</v>
      </c>
      <c r="N58" s="790">
        <f t="shared" ca="1" si="12"/>
        <v>0</v>
      </c>
    </row>
    <row r="59" spans="1:22">
      <c r="B59" s="789"/>
      <c r="C59" s="789"/>
      <c r="D59" s="789" t="s">
        <v>114</v>
      </c>
      <c r="E59" s="1734" t="str">
        <f>IF(B59="","",D59/1000)</f>
        <v/>
      </c>
      <c r="F59" s="1735" t="str">
        <f>IF(B59="","",I59)</f>
        <v/>
      </c>
      <c r="G59" s="1736" t="s">
        <v>114</v>
      </c>
      <c r="H59" s="1737"/>
      <c r="I59" s="1731"/>
      <c r="J59" s="1730"/>
      <c r="K59" s="1732">
        <f>IFERROR(E59*(VLOOKUP(EDATE(G59,-1),Índices!B11:D505,3,FALSE)/VLOOKUP(EDATE(F59,-1),Índices!B11:D505,3,FALSE)),0)</f>
        <v>0</v>
      </c>
      <c r="L59" s="790">
        <f t="shared" si="11"/>
        <v>0</v>
      </c>
      <c r="M59" s="799">
        <f t="shared" ca="1" si="10"/>
        <v>0</v>
      </c>
      <c r="N59" s="790">
        <f t="shared" ca="1" si="12"/>
        <v>0</v>
      </c>
    </row>
    <row r="60" spans="1:22">
      <c r="B60" s="1202" t="s">
        <v>769</v>
      </c>
      <c r="C60" s="1203"/>
      <c r="D60" s="1203"/>
      <c r="E60" s="1202"/>
      <c r="F60" s="1202"/>
      <c r="G60" s="1204"/>
      <c r="H60" s="1202"/>
      <c r="I60" s="1202"/>
      <c r="J60" s="1205">
        <f>SUM(J53:J59)</f>
        <v>8473.8960000000006</v>
      </c>
      <c r="K60" s="1206">
        <f ca="1">IFERROR(SUMPRODUCT(K53:K59,M53:M59)/SUM(M53:M59),0)</f>
        <v>163.74205534260139</v>
      </c>
      <c r="L60" s="1202"/>
      <c r="M60" s="1207">
        <f ca="1">SUM(M53:M59)</f>
        <v>8774.8620293248496</v>
      </c>
      <c r="N60" s="1207">
        <f ca="1">SUM(N53:N59)</f>
        <v>1436813.9440294011</v>
      </c>
    </row>
    <row r="61" spans="1:22">
      <c r="C61" s="412"/>
      <c r="D61" s="412"/>
      <c r="E61" s="412"/>
      <c r="K61" s="68" t="s">
        <v>2052</v>
      </c>
    </row>
    <row r="62" spans="1:22" ht="15.75">
      <c r="B62" s="1208" t="s">
        <v>1140</v>
      </c>
      <c r="C62" s="1209" t="s">
        <v>1141</v>
      </c>
      <c r="D62" s="1210"/>
      <c r="E62" s="1211" t="s">
        <v>1142</v>
      </c>
      <c r="F62" s="1211" t="s">
        <v>1143</v>
      </c>
      <c r="H62" s="1212" t="s">
        <v>1144</v>
      </c>
      <c r="I62" s="1213" t="s">
        <v>42</v>
      </c>
      <c r="J62" s="1214" t="s">
        <v>43</v>
      </c>
      <c r="K62" s="1215" t="s">
        <v>1114</v>
      </c>
    </row>
    <row r="63" spans="1:22" ht="15.75">
      <c r="B63" s="78" t="s">
        <v>1145</v>
      </c>
      <c r="C63" s="251">
        <f>(13381943*G76)/12*8</f>
        <v>431.16620345999996</v>
      </c>
      <c r="D63" s="1729">
        <f t="shared" ref="D63:D65" si="13">E63</f>
        <v>349.15</v>
      </c>
      <c r="E63" s="217">
        <v>349.15</v>
      </c>
      <c r="F63" s="107">
        <f>C63*E63</f>
        <v>150541.67993805898</v>
      </c>
      <c r="H63" s="1216" t="s">
        <v>1146</v>
      </c>
      <c r="I63" s="1217" cm="1">
        <f t="array" ref="I63">GSFRH[GSF previsto]</f>
        <v>0.87029999999999996</v>
      </c>
      <c r="J63" s="1218" cm="1">
        <f t="array" ref="J63">GSFRH[PLD]</f>
        <v>195.04</v>
      </c>
      <c r="K63" s="1219">
        <f>(J63*(1-I63)*(C64+C65))</f>
        <v>57994.175041280017</v>
      </c>
    </row>
    <row r="64" spans="1:22" ht="15.75">
      <c r="B64" s="78" t="s">
        <v>1146</v>
      </c>
      <c r="C64" s="251">
        <f>G77</f>
        <v>2292.56</v>
      </c>
      <c r="D64" s="1729">
        <f t="shared" si="13"/>
        <v>153</v>
      </c>
      <c r="E64" s="217">
        <v>153</v>
      </c>
      <c r="F64" s="107">
        <f>C64*E64</f>
        <v>350761.68</v>
      </c>
      <c r="H64" s="800" t="s">
        <v>1147</v>
      </c>
      <c r="I64" s="801">
        <f>I63</f>
        <v>0.87029999999999996</v>
      </c>
      <c r="J64" s="802">
        <f>J63</f>
        <v>195.04</v>
      </c>
      <c r="K64" s="803"/>
    </row>
    <row r="65" spans="1:11" ht="15.75">
      <c r="B65" s="78" t="s">
        <v>1146</v>
      </c>
      <c r="C65" s="123">
        <v>0</v>
      </c>
      <c r="D65" s="1729">
        <f t="shared" si="13"/>
        <v>0</v>
      </c>
      <c r="E65" s="217">
        <v>0</v>
      </c>
      <c r="F65" s="107">
        <f>C65*E65</f>
        <v>0</v>
      </c>
      <c r="H65" s="804" t="s">
        <v>1148</v>
      </c>
      <c r="I65" s="801">
        <f>I64</f>
        <v>0.87029999999999996</v>
      </c>
      <c r="J65" s="802">
        <f>J64</f>
        <v>195.04</v>
      </c>
      <c r="K65" s="1782">
        <f>(J65*(1-I65)*I68*K68*365*24)*8/12</f>
        <v>101103.22710940549</v>
      </c>
    </row>
    <row r="66" spans="1:11" ht="15.75">
      <c r="B66" s="791"/>
      <c r="C66" s="791">
        <f>SUM(C63:C64)</f>
        <v>2723.7262034599999</v>
      </c>
      <c r="D66" s="791"/>
      <c r="E66" s="791"/>
      <c r="F66" s="791">
        <f>SUM(F63:F65)</f>
        <v>501303.359938059</v>
      </c>
      <c r="H66" s="785" t="s">
        <v>1149</v>
      </c>
      <c r="I66" s="1220"/>
      <c r="J66" s="1221"/>
      <c r="K66" s="1222">
        <f>SUM(K63:K65)</f>
        <v>159097.40215068549</v>
      </c>
    </row>
    <row r="67" spans="1:11" ht="15.75">
      <c r="H67" s="1818" t="s">
        <v>45</v>
      </c>
      <c r="I67" s="1818"/>
      <c r="J67" s="1223"/>
      <c r="K67" s="1223" t="s">
        <v>44</v>
      </c>
    </row>
    <row r="68" spans="1:11" ht="15.75">
      <c r="H68" s="786" t="str">
        <f>CAPA!C9</f>
        <v>Coopermila</v>
      </c>
      <c r="I68" s="1777">
        <f>I69</f>
        <v>4.6430000000000001E-5</v>
      </c>
      <c r="J68" s="898">
        <f>J63</f>
        <v>195.04</v>
      </c>
      <c r="K68" s="787" cm="1">
        <f t="array" ref="K68">GSFRH[MWm repactuado]</f>
        <v>14739.74</v>
      </c>
    </row>
    <row r="69" spans="1:11" ht="15">
      <c r="B69" s="1208" t="s">
        <v>1150</v>
      </c>
      <c r="C69" s="1209" t="s">
        <v>1141</v>
      </c>
      <c r="D69" s="1210"/>
      <c r="E69" s="1211" t="s">
        <v>1142</v>
      </c>
      <c r="F69" s="1211" t="s">
        <v>1143</v>
      </c>
      <c r="I69" s="1776">
        <v>4.6430000000000001E-5</v>
      </c>
    </row>
    <row r="70" spans="1:11">
      <c r="B70" s="78" t="s">
        <v>1151</v>
      </c>
      <c r="C70" s="251">
        <f>D89</f>
        <v>0</v>
      </c>
      <c r="D70" s="805">
        <f t="shared" ref="D70" si="14">E70</f>
        <v>0</v>
      </c>
      <c r="E70" s="789">
        <v>0</v>
      </c>
      <c r="F70" s="107">
        <f>C70*E70</f>
        <v>0</v>
      </c>
    </row>
    <row r="71" spans="1:11">
      <c r="B71" s="78"/>
      <c r="C71" s="251"/>
      <c r="D71" s="805"/>
      <c r="E71" s="789"/>
      <c r="F71" s="107"/>
      <c r="J71" s="140"/>
    </row>
    <row r="72" spans="1:11">
      <c r="B72" s="791"/>
      <c r="C72" s="791">
        <f>SUM(C70:C71)</f>
        <v>0</v>
      </c>
      <c r="D72" s="791"/>
      <c r="E72" s="791"/>
      <c r="F72" s="791">
        <f>SUM(F70:F71)</f>
        <v>0</v>
      </c>
      <c r="J72" s="140"/>
    </row>
    <row r="75" spans="1:11">
      <c r="C75" s="123" t="s">
        <v>1150</v>
      </c>
      <c r="H75" s="123" t="s">
        <v>2385</v>
      </c>
    </row>
    <row r="76" spans="1:11">
      <c r="C76" s="1707" t="s">
        <v>2199</v>
      </c>
      <c r="D76" s="1707" t="s">
        <v>2305</v>
      </c>
      <c r="F76" s="1775" t="s">
        <v>2384</v>
      </c>
      <c r="G76" s="1774">
        <v>4.833E-5</v>
      </c>
      <c r="H76" s="69">
        <v>13381943</v>
      </c>
    </row>
    <row r="77" spans="1:11">
      <c r="A77" s="68" t="s">
        <v>1152</v>
      </c>
      <c r="C77" s="1725">
        <f>SAS_RA0_DataInicio</f>
        <v>44440</v>
      </c>
      <c r="D77" s="849">
        <f>IFERROR(VLOOKUP(C77,GeracaoPropria[],2,FALSE)/1000,0)</f>
        <v>0</v>
      </c>
      <c r="F77" s="1775" t="s">
        <v>1146</v>
      </c>
      <c r="G77" s="1172">
        <v>2292.56</v>
      </c>
    </row>
    <row r="78" spans="1:11">
      <c r="A78" s="68" t="str">
        <f>TRIM(LEFT(C28,3))</f>
        <v>A4</v>
      </c>
      <c r="C78" s="1725">
        <f>EDATE(C77,1)</f>
        <v>44470</v>
      </c>
      <c r="D78" s="849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25">
        <f t="shared" ref="C79:C87" si="16">EDATE(C78,1)</f>
        <v>44501</v>
      </c>
      <c r="D79" s="849">
        <f>IFERROR(VLOOKUP(C79,GeracaoPropria[],2,FALSE)/1000,0)</f>
        <v>0</v>
      </c>
    </row>
    <row r="80" spans="1:11">
      <c r="A80" s="68" t="str">
        <f t="shared" si="15"/>
        <v/>
      </c>
      <c r="C80" s="1725">
        <f t="shared" si="16"/>
        <v>44531</v>
      </c>
      <c r="D80" s="849">
        <f>IFERROR(VLOOKUP(C80,GeracaoPropria[],2,FALSE)/1000,0)</f>
        <v>0</v>
      </c>
    </row>
    <row r="81" spans="1:6">
      <c r="A81" s="68" t="str">
        <f t="shared" si="15"/>
        <v/>
      </c>
      <c r="C81" s="1725">
        <f t="shared" si="16"/>
        <v>44562</v>
      </c>
      <c r="D81" s="849">
        <f>IFERROR(VLOOKUP(C81,GeracaoPropria[],2,FALSE)/1000,0)</f>
        <v>0</v>
      </c>
    </row>
    <row r="82" spans="1:6">
      <c r="A82" s="68" t="str">
        <f t="shared" si="15"/>
        <v/>
      </c>
      <c r="C82" s="1725">
        <f t="shared" si="16"/>
        <v>44593</v>
      </c>
      <c r="D82" s="849">
        <f>IFERROR(VLOOKUP(C82,GeracaoPropria[],2,FALSE)/1000,0)</f>
        <v>0</v>
      </c>
      <c r="F82" s="68">
        <f ca="1">C63/M5</f>
        <v>2.3939137603809856E-2</v>
      </c>
    </row>
    <row r="83" spans="1:6">
      <c r="A83" s="68" t="str">
        <f t="shared" si="15"/>
        <v/>
      </c>
      <c r="C83" s="1725">
        <f t="shared" si="16"/>
        <v>44621</v>
      </c>
      <c r="D83" s="849">
        <f>IFERROR(VLOOKUP(C83,GeracaoPropria[],2,FALSE)/1000,0)</f>
        <v>0</v>
      </c>
      <c r="F83" s="68">
        <f ca="1">C64/M5</f>
        <v>0.12728713165497862</v>
      </c>
    </row>
    <row r="84" spans="1:6">
      <c r="A84" s="68" t="str">
        <f t="shared" si="15"/>
        <v/>
      </c>
      <c r="C84" s="1725">
        <f t="shared" si="16"/>
        <v>44652</v>
      </c>
      <c r="D84" s="849">
        <f>IFERROR(VLOOKUP(C84,GeracaoPropria[],2,FALSE)/1000,0)</f>
        <v>0</v>
      </c>
    </row>
    <row r="85" spans="1:6">
      <c r="C85" s="1725">
        <f t="shared" si="16"/>
        <v>44682</v>
      </c>
      <c r="D85" s="849">
        <f>IFERROR(VLOOKUP(C85,GeracaoPropria[],2,FALSE)/1000,0)</f>
        <v>0</v>
      </c>
    </row>
    <row r="86" spans="1:6">
      <c r="C86" s="1725">
        <f>EDATE(C85,1)</f>
        <v>44713</v>
      </c>
      <c r="D86" s="849">
        <f>IFERROR(VLOOKUP(C86,GeracaoPropria[],2,FALSE)/1000,D85)</f>
        <v>0</v>
      </c>
    </row>
    <row r="87" spans="1:6">
      <c r="C87" s="1725">
        <f t="shared" si="16"/>
        <v>44743</v>
      </c>
      <c r="D87" s="849">
        <f>IFERROR(VLOOKUP(C87,GeracaoPropria[],2,FALSE)/1000,D86)</f>
        <v>0</v>
      </c>
    </row>
    <row r="88" spans="1:6">
      <c r="C88" s="1725">
        <f>EDATE(C87,1)</f>
        <v>44774</v>
      </c>
      <c r="D88" s="849">
        <f>IFERROR(VLOOKUP(C88,GeracaoPropria[],2,FALSE)/1000,D87)</f>
        <v>0</v>
      </c>
    </row>
    <row r="89" spans="1:6">
      <c r="C89" s="1708" t="s">
        <v>769</v>
      </c>
      <c r="D89" s="1114">
        <f t="shared" ref="D89" si="17">SUM(D77:D88)</f>
        <v>0</v>
      </c>
    </row>
    <row r="93" spans="1:6" ht="15">
      <c r="B93" s="1764"/>
    </row>
    <row r="94" spans="1:6" ht="15">
      <c r="B94" s="1764"/>
    </row>
    <row r="95" spans="1:6" ht="15">
      <c r="B95" s="1764"/>
    </row>
    <row r="96" spans="1:6" ht="15">
      <c r="B96" s="1764"/>
    </row>
    <row r="97" spans="2:4" ht="15">
      <c r="B97" s="1764"/>
    </row>
    <row r="100" spans="2:4">
      <c r="C100" s="123">
        <v>2022</v>
      </c>
    </row>
    <row r="101" spans="2:4">
      <c r="C101" s="1766">
        <v>44805</v>
      </c>
      <c r="D101" s="1570">
        <v>1541868</v>
      </c>
    </row>
    <row r="102" spans="2:4">
      <c r="C102" s="1766">
        <v>44835</v>
      </c>
      <c r="D102" s="1570">
        <v>1471868</v>
      </c>
    </row>
    <row r="103" spans="2:4">
      <c r="C103" s="1766">
        <v>44866</v>
      </c>
      <c r="D103" s="1570">
        <v>1591868</v>
      </c>
    </row>
    <row r="104" spans="2:4">
      <c r="C104" s="1766">
        <v>44896</v>
      </c>
      <c r="D104" s="1570">
        <v>1601868</v>
      </c>
    </row>
    <row r="105" spans="2:4">
      <c r="C105" s="1765"/>
      <c r="D105" s="1767">
        <f>SUM(D101:D104)/1000</f>
        <v>6207.4719999999998</v>
      </c>
    </row>
    <row r="107" spans="2:4">
      <c r="C107" s="123">
        <v>2023</v>
      </c>
      <c r="D107" s="1768">
        <f>(1007400/12*8)/1000</f>
        <v>671.6</v>
      </c>
    </row>
    <row r="109" spans="2:4">
      <c r="C109" s="1769" t="s">
        <v>769</v>
      </c>
      <c r="D109" s="1770">
        <f>D105+D107</f>
        <v>6879.0720000000001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F27" sqref="F2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  <col min="10" max="10" width="8.140625" bestFit="1" customWidth="1"/>
  </cols>
  <sheetData>
    <row r="1" spans="2:10">
      <c r="B1" s="1710" t="s">
        <v>2281</v>
      </c>
      <c r="C1" s="1711"/>
      <c r="D1" s="1712"/>
      <c r="E1" s="1712"/>
      <c r="F1" s="1713" t="s">
        <v>873</v>
      </c>
      <c r="G1" s="1714">
        <f ca="1">LnkTXTIRTEco</f>
        <v>-0.10630000000000001</v>
      </c>
    </row>
    <row r="2" spans="2:10">
      <c r="B2" s="1715" t="str">
        <f>CAPA!C9</f>
        <v>Coopermila</v>
      </c>
      <c r="C2" s="1716"/>
      <c r="D2" s="1716"/>
      <c r="E2" s="1716"/>
      <c r="F2" s="1717" t="s">
        <v>877</v>
      </c>
      <c r="G2" s="1718">
        <f ca="1">LnkTXTIRTTotal</f>
        <v>-0.2195</v>
      </c>
    </row>
    <row r="4" spans="2:10">
      <c r="B4" s="9"/>
    </row>
    <row r="5" spans="2:10" ht="25.5">
      <c r="B5" s="1707" t="s">
        <v>2199</v>
      </c>
      <c r="C5" s="1707" t="s">
        <v>2180</v>
      </c>
      <c r="D5" s="1707" t="s">
        <v>2181</v>
      </c>
      <c r="E5" s="1707" t="s">
        <v>2182</v>
      </c>
      <c r="F5" s="1707" t="s">
        <v>790</v>
      </c>
      <c r="G5" s="1707" t="s">
        <v>109</v>
      </c>
      <c r="H5" s="1707" t="s">
        <v>2200</v>
      </c>
      <c r="I5" s="1707" t="s">
        <v>742</v>
      </c>
      <c r="J5" s="1707" t="s">
        <v>1282</v>
      </c>
    </row>
    <row r="6" spans="2:10">
      <c r="B6" s="1725">
        <f>SAS_RA0_DataInicio</f>
        <v>44440</v>
      </c>
      <c r="C6" s="849">
        <f>IFERROR(VLOOKUP(B6,PerdasDitFinal[#All],2,FALSE),0)</f>
        <v>0</v>
      </c>
      <c r="D6" s="849">
        <f>IFERROR(VLOOKUP(B6,PerdasDitFinal[#All],3,FALSE),0)</f>
        <v>0</v>
      </c>
      <c r="E6" s="849">
        <f>IFERROR(VLOOKUP(B6,PerdasDitFinal[#All],4,FALSE),0)</f>
        <v>0</v>
      </c>
      <c r="F6" s="849">
        <f>IF(C6=0,(SUMIF(FaturasT!I:I,'Perdas de Energia'!B6,FaturasT!N:N)+SUMIF(FaturasT!I:I,'Perdas de Energia'!B6,FaturasT!O:ON))/1000,0)</f>
        <v>1463.807</v>
      </c>
      <c r="G6" s="849">
        <f>IF(C6=0,(SUMIF(FaturasT!I:I,'Perdas de Energia'!B6,FaturasT!P:P)/1000),0)</f>
        <v>33.939</v>
      </c>
      <c r="H6" s="849">
        <f>SUMIF(dados_MercadoBase[AnoMes],'Perdas de Energia'!B6,dados_MercadoBase[TE_E])</f>
        <v>1414.837</v>
      </c>
      <c r="I6" s="1726">
        <f>C6-D6-E6+F6-H6+G6</f>
        <v>82.90900000000002</v>
      </c>
      <c r="J6" s="1727">
        <f>I6/(C6-D6-E6+F6+G6)</f>
        <v>5.5355848054343001E-2</v>
      </c>
    </row>
    <row r="7" spans="2:10">
      <c r="B7" s="1725">
        <f>EDATE(B6,1)</f>
        <v>44470</v>
      </c>
      <c r="C7" s="849">
        <f>IFERROR(VLOOKUP(B7,PerdasDitFinal[#All],2,FALSE),0)</f>
        <v>0</v>
      </c>
      <c r="D7" s="849">
        <f>IFERROR(VLOOKUP(B7,PerdasDitFinal[#All],3,FALSE),0)</f>
        <v>0</v>
      </c>
      <c r="E7" s="849">
        <f>IFERROR(VLOOKUP(B7,PerdasDitFinal[#All],4,FALSE),0)</f>
        <v>0</v>
      </c>
      <c r="F7" s="849">
        <f>IF(C7=0,(SUMIF(FaturasT!I:I,'Perdas de Energia'!B7,FaturasT!N:N)+SUMIF(FaturasT!I:I,'Perdas de Energia'!B7,FaturasT!O:ON))/1000,0)</f>
        <v>1519.973</v>
      </c>
      <c r="G7" s="849">
        <f>IF(C7=0,(SUMIF(FaturasT!I:I,'Perdas de Energia'!B7,FaturasT!P:P)/1000),0)</f>
        <v>36.137</v>
      </c>
      <c r="H7" s="849">
        <f>SUMIF(dados_MercadoBase[AnoMes],'Perdas de Energia'!B7,dados_MercadoBase[TE_E])</f>
        <v>1433.152</v>
      </c>
      <c r="I7" s="1726">
        <f t="shared" ref="I7:I16" si="0">C7-D7-E7+F7-H7+G7</f>
        <v>122.95799999999991</v>
      </c>
      <c r="J7" s="1727">
        <f t="shared" ref="J7:J17" si="1">I7/(C7-D7-E7+F7+G7)</f>
        <v>7.9016264917004531E-2</v>
      </c>
    </row>
    <row r="8" spans="2:10">
      <c r="B8" s="1725">
        <f t="shared" ref="B8:B16" si="2">EDATE(B7,1)</f>
        <v>44501</v>
      </c>
      <c r="C8" s="849">
        <f>IFERROR(VLOOKUP(B8,PerdasDitFinal[#All],2,FALSE),0)</f>
        <v>0</v>
      </c>
      <c r="D8" s="849">
        <f>IFERROR(VLOOKUP(B8,PerdasDitFinal[#All],3,FALSE),0)</f>
        <v>0</v>
      </c>
      <c r="E8" s="849">
        <f>IFERROR(VLOOKUP(B8,PerdasDitFinal[#All],4,FALSE),0)</f>
        <v>0</v>
      </c>
      <c r="F8" s="849">
        <f>IF(C8=0,(SUMIF(FaturasT!I:I,'Perdas de Energia'!B8,FaturasT!N:N)+SUMIF(FaturasT!I:I,'Perdas de Energia'!B8,FaturasT!O:ON))/1000,0)</f>
        <v>1583.3430000000001</v>
      </c>
      <c r="G8" s="849">
        <f>IF(C8=0,(SUMIF(FaturasT!I:I,'Perdas de Energia'!B8,FaturasT!P:P)/1000),0)</f>
        <v>36.079000000000001</v>
      </c>
      <c r="H8" s="849">
        <f>SUMIF(dados_MercadoBase[AnoMes],'Perdas de Energia'!B8,dados_MercadoBase[TE_E])</f>
        <v>1568.3020000000001</v>
      </c>
      <c r="I8" s="1726">
        <f t="shared" si="0"/>
        <v>51.119999999999941</v>
      </c>
      <c r="J8" s="1727">
        <f t="shared" si="1"/>
        <v>3.1566818284548402E-2</v>
      </c>
    </row>
    <row r="9" spans="2:10">
      <c r="B9" s="1725">
        <f t="shared" si="2"/>
        <v>44531</v>
      </c>
      <c r="C9" s="849">
        <f>IFERROR(VLOOKUP(B9,PerdasDitFinal[#All],2,FALSE),0)</f>
        <v>0</v>
      </c>
      <c r="D9" s="849">
        <f>IFERROR(VLOOKUP(B9,PerdasDitFinal[#All],3,FALSE),0)</f>
        <v>0</v>
      </c>
      <c r="E9" s="849">
        <f>IFERROR(VLOOKUP(B9,PerdasDitFinal[#All],4,FALSE),0)</f>
        <v>0</v>
      </c>
      <c r="F9" s="849">
        <f>IF(C9=0,(SUMIF(FaturasT!I:I,'Perdas de Energia'!B9,FaturasT!N:N)+SUMIF(FaturasT!I:I,'Perdas de Energia'!B9,FaturasT!O:ON))/1000,0)</f>
        <v>1586.7909999999999</v>
      </c>
      <c r="G9" s="849">
        <f>IF(C9=0,(SUMIF(FaturasT!I:I,'Perdas de Energia'!B9,FaturasT!P:P)/1000),0)</f>
        <v>32.898000000000003</v>
      </c>
      <c r="H9" s="849">
        <f>SUMIF(dados_MercadoBase[AnoMes],'Perdas de Energia'!B9,dados_MercadoBase[TE_E])</f>
        <v>1511.442</v>
      </c>
      <c r="I9" s="1726">
        <f t="shared" si="0"/>
        <v>108.24699999999993</v>
      </c>
      <c r="J9" s="1727">
        <f t="shared" si="1"/>
        <v>6.6831965889747935E-2</v>
      </c>
    </row>
    <row r="10" spans="2:10">
      <c r="B10" s="1725">
        <f t="shared" si="2"/>
        <v>44562</v>
      </c>
      <c r="C10" s="849">
        <f>IFERROR(VLOOKUP(B10,PerdasDitFinal[#All],2,FALSE),0)</f>
        <v>0</v>
      </c>
      <c r="D10" s="849">
        <f>IFERROR(VLOOKUP(B10,PerdasDitFinal[#All],3,FALSE),0)</f>
        <v>0</v>
      </c>
      <c r="E10" s="849">
        <f>IFERROR(VLOOKUP(B10,PerdasDitFinal[#All],4,FALSE),0)</f>
        <v>0</v>
      </c>
      <c r="F10" s="849">
        <f>IF(C10=0,(SUMIF(FaturasT!I:I,'Perdas de Energia'!B10,FaturasT!N:N)+SUMIF(FaturasT!I:I,'Perdas de Energia'!B10,FaturasT!O:ON))/1000,0)</f>
        <v>1668.5039999999999</v>
      </c>
      <c r="G10" s="849">
        <f>IF(C10=0,(SUMIF(FaturasT!I:I,'Perdas de Energia'!B10,FaturasT!P:P)/1000),0)</f>
        <v>20.79</v>
      </c>
      <c r="H10" s="849">
        <f>SUMIF(dados_MercadoBase[AnoMes],'Perdas de Energia'!B10,dados_MercadoBase[TE_E])</f>
        <v>1620.0319999999997</v>
      </c>
      <c r="I10" s="1726">
        <f t="shared" si="0"/>
        <v>69.262000000000199</v>
      </c>
      <c r="J10" s="1727">
        <f t="shared" si="1"/>
        <v>4.1000559997253411E-2</v>
      </c>
    </row>
    <row r="11" spans="2:10">
      <c r="B11" s="1725">
        <f t="shared" si="2"/>
        <v>44593</v>
      </c>
      <c r="C11" s="849">
        <f>IFERROR(VLOOKUP(B11,PerdasDitFinal[#All],2,FALSE),0)</f>
        <v>0</v>
      </c>
      <c r="D11" s="849">
        <f>IFERROR(VLOOKUP(B11,PerdasDitFinal[#All],3,FALSE),0)</f>
        <v>0</v>
      </c>
      <c r="E11" s="849">
        <f>IFERROR(VLOOKUP(B11,PerdasDitFinal[#All],4,FALSE),0)</f>
        <v>0</v>
      </c>
      <c r="F11" s="849">
        <f>IF(C11=0,(SUMIF(FaturasT!I:I,'Perdas de Energia'!B11,FaturasT!N:N)+SUMIF(FaturasT!I:I,'Perdas de Energia'!B11,FaturasT!O:ON))/1000,0)</f>
        <v>1387.0329999999999</v>
      </c>
      <c r="G11" s="849">
        <f>IF(C11=0,(SUMIF(FaturasT!I:I,'Perdas de Energia'!B11,FaturasT!P:P)/1000),0)</f>
        <v>18.619</v>
      </c>
      <c r="H11" s="849">
        <f>SUMIF(dados_MercadoBase[AnoMes],'Perdas de Energia'!B11,dados_MercadoBase[TE_E])</f>
        <v>1357.6620000000003</v>
      </c>
      <c r="I11" s="1726">
        <f t="shared" si="0"/>
        <v>47.98999999999964</v>
      </c>
      <c r="J11" s="1727">
        <f t="shared" si="1"/>
        <v>3.4140740382398803E-2</v>
      </c>
    </row>
    <row r="12" spans="2:10">
      <c r="B12" s="1725">
        <f t="shared" si="2"/>
        <v>44621</v>
      </c>
      <c r="C12" s="849">
        <f>IFERROR(VLOOKUP(B12,PerdasDitFinal[#All],2,FALSE),0)</f>
        <v>0</v>
      </c>
      <c r="D12" s="849">
        <f>IFERROR(VLOOKUP(B12,PerdasDitFinal[#All],3,FALSE),0)</f>
        <v>0</v>
      </c>
      <c r="E12" s="849">
        <f>IFERROR(VLOOKUP(B12,PerdasDitFinal[#All],4,FALSE),0)</f>
        <v>0</v>
      </c>
      <c r="F12" s="849">
        <f>IF(C12=0,(SUMIF(FaturasT!I:I,'Perdas de Energia'!B12,FaturasT!N:N)+SUMIF(FaturasT!I:I,'Perdas de Energia'!B12,FaturasT!O:ON))/1000,0)</f>
        <v>1635.5319999999999</v>
      </c>
      <c r="G12" s="849">
        <f>IF(C12=0,(SUMIF(FaturasT!I:I,'Perdas de Energia'!B12,FaturasT!P:P)/1000),0)</f>
        <v>20.123000000000001</v>
      </c>
      <c r="H12" s="849">
        <f>SUMIF(dados_MercadoBase[AnoMes],'Perdas de Energia'!B12,dados_MercadoBase[TE_E])</f>
        <v>1559.3339999999998</v>
      </c>
      <c r="I12" s="1726">
        <f t="shared" si="0"/>
        <v>96.321000000000097</v>
      </c>
      <c r="J12" s="1727">
        <f t="shared" si="1"/>
        <v>5.8176975275646255E-2</v>
      </c>
    </row>
    <row r="13" spans="2:10">
      <c r="B13" s="1725">
        <f t="shared" si="2"/>
        <v>44652</v>
      </c>
      <c r="C13" s="849">
        <f>IFERROR(VLOOKUP(B13,PerdasDitFinal[#All],2,FALSE),0)</f>
        <v>0</v>
      </c>
      <c r="D13" s="849">
        <f>IFERROR(VLOOKUP(B13,PerdasDitFinal[#All],3,FALSE),0)</f>
        <v>0</v>
      </c>
      <c r="E13" s="849">
        <f>IFERROR(VLOOKUP(B13,PerdasDitFinal[#All],4,FALSE),0)</f>
        <v>0</v>
      </c>
      <c r="F13" s="849">
        <f>IF(C13=0,(SUMIF(FaturasT!I:I,'Perdas de Energia'!B13,FaturasT!N:N)+SUMIF(FaturasT!I:I,'Perdas de Energia'!B13,FaturasT!O:ON))/1000,0)</f>
        <v>1548.4839999999999</v>
      </c>
      <c r="G13" s="849">
        <f>IF(C13=0,(SUMIF(FaturasT!I:I,'Perdas de Energia'!B13,FaturasT!P:P)/1000),0)</f>
        <v>19.361999999999998</v>
      </c>
      <c r="H13" s="849">
        <f>SUMIF(dados_MercadoBase[AnoMes],'Perdas de Energia'!B13,dados_MercadoBase[TE_E])</f>
        <v>1468.4359999999997</v>
      </c>
      <c r="I13" s="1726">
        <f t="shared" si="0"/>
        <v>99.410000000000224</v>
      </c>
      <c r="J13" s="1727">
        <f t="shared" si="1"/>
        <v>6.3405462016039985E-2</v>
      </c>
    </row>
    <row r="14" spans="2:10">
      <c r="B14" s="1725">
        <f t="shared" si="2"/>
        <v>44682</v>
      </c>
      <c r="C14" s="849">
        <f>IFERROR(VLOOKUP(B14,PerdasDitFinal[#All],2,FALSE),0)</f>
        <v>0</v>
      </c>
      <c r="D14" s="849">
        <f>IFERROR(VLOOKUP(B14,PerdasDitFinal[#All],3,FALSE),D13)</f>
        <v>0</v>
      </c>
      <c r="E14" s="849">
        <f>IFERROR(VLOOKUP(B14,PerdasDitFinal[#All],4,FALSE),E13)</f>
        <v>0</v>
      </c>
      <c r="F14" s="849">
        <f>IF(C14=0,IF(IFERROR(VLOOKUP(B14,Consulta3[MesAno],1,FALSE),0)='Perdas de Energia'!B14,(SUMIF(FaturasT!I:I,'Perdas de Energia'!B14,FaturasT!N:N)+SUMIF(FaturasT!I:I,'Perdas de Energia'!B14,FaturasT!O:ON))/1000,F13),0)</f>
        <v>1603.6279999999999</v>
      </c>
      <c r="G14" s="849">
        <f>IF(C14=0,IF(IFERROR(VLOOKUP(B14,FaturasT!I:I,1,FALSE),0)=B14,(SUMIF(Consulta3[MesAno],'Perdas de Energia'!B14,Consulta3[Proinfa (kWh)])/1000),G13),0)</f>
        <v>21.963000000000001</v>
      </c>
      <c r="H14" s="849">
        <f>SUMIF(dados_MercadoBase[AnoMes],'Perdas de Energia'!B14,dados_MercadoBase[TE_E])</f>
        <v>1543.6909999999996</v>
      </c>
      <c r="I14" s="1726">
        <f t="shared" si="0"/>
        <v>81.900000000000347</v>
      </c>
      <c r="J14" s="1727">
        <f t="shared" si="1"/>
        <v>5.038167657178242E-2</v>
      </c>
    </row>
    <row r="15" spans="2:10">
      <c r="B15" s="1725">
        <f>EDATE(B14,1)</f>
        <v>44713</v>
      </c>
      <c r="C15" s="849">
        <f>IFERROR(VLOOKUP(B15,PerdasDitFinal[#All],2,FALSE),C14)</f>
        <v>0</v>
      </c>
      <c r="D15" s="849">
        <f>IFERROR(VLOOKUP(B15,PerdasDitFinal[#All],3,FALSE),D14)</f>
        <v>0</v>
      </c>
      <c r="E15" s="849">
        <f>IFERROR(VLOOKUP(B15,PerdasDitFinal[#All],4,FALSE),E14)</f>
        <v>0</v>
      </c>
      <c r="F15" s="849">
        <f>IF(C15=0,IF(IFERROR(VLOOKUP(B15,Consulta3[MesAno],1,FALSE),0)='Perdas de Energia'!B15,(SUMIF(FaturasT!I:I,'Perdas de Energia'!B15,FaturasT!N:N)+SUMIF(FaturasT!I:I,'Perdas de Energia'!B15,FaturasT!O:ON))/1000,F14),0)</f>
        <v>1540.9490000000001</v>
      </c>
      <c r="G15" s="849">
        <f>IF(C15=0,IF(IFERROR(VLOOKUP(B15,FaturasT!I:I,1,FALSE),0)=B15,(SUMIF(Consulta3[MesAno],'Perdas de Energia'!B15,Consulta3[Proinfa (kWh)])/1000),G14),0)</f>
        <v>21.948</v>
      </c>
      <c r="H15" s="849">
        <f>SUMIF(dados_MercadoBase[AnoMes],'Perdas de Energia'!B15,dados_MercadoBase[TE_E])</f>
        <v>1467.1499999999999</v>
      </c>
      <c r="I15" s="1726">
        <f t="shared" si="0"/>
        <v>95.747000000000213</v>
      </c>
      <c r="J15" s="1727">
        <f t="shared" si="1"/>
        <v>6.1262514420336214E-2</v>
      </c>
    </row>
    <row r="16" spans="2:10">
      <c r="B16" s="1725">
        <f t="shared" si="2"/>
        <v>44743</v>
      </c>
      <c r="C16" s="849">
        <f>IFERROR(VLOOKUP(B16,PerdasDitFinal[#All],2,FALSE),C15)</f>
        <v>0</v>
      </c>
      <c r="D16" s="849">
        <f>IFERROR(VLOOKUP(B16,PerdasDitFinal[#All],3,FALSE),D15)</f>
        <v>0</v>
      </c>
      <c r="E16" s="849">
        <f>IFERROR(VLOOKUP(B16,PerdasDitFinal[#All],4,FALSE),E15)</f>
        <v>0</v>
      </c>
      <c r="F16" s="849">
        <f>IF(C16=0,IF(IFERROR(VLOOKUP(B16,Consulta3[MesAno],1,FALSE),0)='Perdas de Energia'!B16,(SUMIF(FaturasT!I:I,'Perdas de Energia'!B16,FaturasT!N:N)+SUMIF(FaturasT!I:I,'Perdas de Energia'!B16,FaturasT!O:ON))/1000,F15),0)</f>
        <v>1617.213</v>
      </c>
      <c r="G16" s="849">
        <f>IF(C16=0,IF(IFERROR(VLOOKUP(B16,FaturasT!I:I,1,FALSE),0)=B16,(SUMIF(Consulta3[MesAno],'Perdas de Energia'!B16,Consulta3[Proinfa (kWh)])/1000),G15),0)</f>
        <v>22.741</v>
      </c>
      <c r="H16" s="849">
        <f>SUMIF(dados_MercadoBase[AnoMes],'Perdas de Energia'!B16,dados_MercadoBase[TE_E])</f>
        <v>1512.5160000000001</v>
      </c>
      <c r="I16" s="1726">
        <f t="shared" si="0"/>
        <v>127.43799999999989</v>
      </c>
      <c r="J16" s="1727">
        <f t="shared" si="1"/>
        <v>7.7708277183384342E-2</v>
      </c>
    </row>
    <row r="17" spans="2:10">
      <c r="B17" s="1725">
        <f>EDATE(B16,1)</f>
        <v>44774</v>
      </c>
      <c r="C17" s="849">
        <f>IFERROR(VLOOKUP(B17,PerdasDitFinal[#All],2,FALSE),C16)</f>
        <v>0</v>
      </c>
      <c r="D17" s="849">
        <f>IFERROR(VLOOKUP(B17,PerdasDitFinal[#All],3,FALSE),D16)</f>
        <v>0</v>
      </c>
      <c r="E17" s="849">
        <f>IFERROR(VLOOKUP(B17,PerdasDitFinal[#All],4,FALSE),E16)</f>
        <v>0</v>
      </c>
      <c r="F17" s="849">
        <f>IF(C17=0,IF(IFERROR(VLOOKUP(B17,Consulta3[MesAno],1,FALSE),0)='Perdas de Energia'!B17,(SUMIF(FaturasT!I:I,'Perdas de Energia'!B17,FaturasT!N:N)+SUMIF(FaturasT!I:I,'Perdas de Energia'!B17,FaturasT!O:ON))/1000,F16),0)</f>
        <v>1617.213</v>
      </c>
      <c r="G17" s="849">
        <f>IF(C17=0,IF(IFERROR(VLOOKUP(B17,FaturasT!I:I,1,FALSE),0)=B17,(SUMIF(Consulta3[MesAno],'Perdas de Energia'!B17,Consulta3[Proinfa (kWh)])/1000),G16),0)</f>
        <v>22.741</v>
      </c>
      <c r="H17" s="849">
        <f>SUMIF(dados_MercadoBase[AnoMes],'Perdas de Energia'!B17,dados_MercadoBase[TE_E])</f>
        <v>1554.3790000000001</v>
      </c>
      <c r="I17" s="1726">
        <f>C17-D17-E17+F17-H17+G17</f>
        <v>85.574999999999832</v>
      </c>
      <c r="J17" s="1727">
        <f t="shared" si="1"/>
        <v>5.21813416717785E-2</v>
      </c>
    </row>
    <row r="18" spans="2:10">
      <c r="B18" s="1708" t="s">
        <v>769</v>
      </c>
      <c r="C18" s="1114">
        <f t="shared" ref="C18:G18" si="3">SUM(C6:C17)</f>
        <v>0</v>
      </c>
      <c r="D18" s="1114">
        <f t="shared" si="3"/>
        <v>0</v>
      </c>
      <c r="E18" s="1114">
        <f t="shared" si="3"/>
        <v>0</v>
      </c>
      <c r="F18" s="1114">
        <f t="shared" si="3"/>
        <v>18772.47</v>
      </c>
      <c r="G18" s="1114">
        <f t="shared" si="3"/>
        <v>307.33999999999992</v>
      </c>
      <c r="H18" s="1114">
        <f>SUM(H6:H17)</f>
        <v>18010.932999999997</v>
      </c>
      <c r="I18" s="1114">
        <f>SUM(I6:I17)</f>
        <v>1068.8770000000002</v>
      </c>
      <c r="J18" s="1709">
        <f>I18/(C18-D18-E18+F18+G18)</f>
        <v>5.6021364992628338E-2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0" t="s">
        <v>952</v>
      </c>
      <c r="C1" s="1018"/>
      <c r="D1" s="1268"/>
      <c r="E1" s="1269"/>
      <c r="F1" s="1269"/>
      <c r="G1" s="1128" t="s">
        <v>873</v>
      </c>
      <c r="H1" s="1228">
        <f ca="1">LnkTXTIRTEco</f>
        <v>-0.10630000000000001</v>
      </c>
    </row>
    <row r="2" spans="1:16" ht="46.5" customHeight="1">
      <c r="B2" s="136" t="str">
        <f>CAPA!C9</f>
        <v>Coopermila</v>
      </c>
      <c r="C2" s="70"/>
      <c r="D2" s="70"/>
      <c r="G2" s="120" t="s">
        <v>877</v>
      </c>
      <c r="H2" s="146">
        <f ca="1">LnkTXTIRTTotal</f>
        <v>-0.2195</v>
      </c>
      <c r="I2" s="90" t="s">
        <v>1231</v>
      </c>
    </row>
    <row r="3" spans="1:16">
      <c r="B3" s="1270" t="s">
        <v>1232</v>
      </c>
      <c r="C3" s="1271">
        <f>SUMPRODUCT(J6:J44,H6:H44)</f>
        <v>1881904.5259199997</v>
      </c>
      <c r="D3" s="73"/>
      <c r="E3" s="1270" t="s">
        <v>1123</v>
      </c>
      <c r="F3" s="68" t="s">
        <v>1233</v>
      </c>
      <c r="G3" s="1272">
        <f>LnkTXTDescTusdAnte</f>
        <v>0</v>
      </c>
      <c r="H3" s="90"/>
      <c r="I3" s="1273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4" t="s">
        <v>27</v>
      </c>
      <c r="C5" s="1274" t="s">
        <v>21</v>
      </c>
      <c r="D5" s="1274" t="s">
        <v>22</v>
      </c>
      <c r="E5" s="1274" t="s">
        <v>78</v>
      </c>
      <c r="F5" s="1274" t="s">
        <v>817</v>
      </c>
      <c r="G5" s="1274" t="s">
        <v>1235</v>
      </c>
      <c r="H5" s="1274" t="s">
        <v>60</v>
      </c>
      <c r="I5" s="1274" t="s">
        <v>1124</v>
      </c>
      <c r="J5" s="1274" t="s">
        <v>1125</v>
      </c>
      <c r="L5" s="68"/>
      <c r="M5" s="69"/>
    </row>
    <row r="6" spans="1:16">
      <c r="A6" s="68">
        <v>5697</v>
      </c>
      <c r="B6" s="147" t="s">
        <v>2342</v>
      </c>
      <c r="C6" s="147" t="s">
        <v>2036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50700</v>
      </c>
      <c r="H6" s="147">
        <f>IF(B6="","",IF(LEFT(D6,7)="Demanda",G6,G6/1000))</f>
        <v>50700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N6" s="69"/>
    </row>
    <row r="7" spans="1:16">
      <c r="A7" s="68">
        <v>5697</v>
      </c>
      <c r="B7" s="147" t="s">
        <v>2342</v>
      </c>
      <c r="C7" s="147" t="s">
        <v>2036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39989.199999999997</v>
      </c>
      <c r="H7" s="147">
        <f t="shared" ref="H7:H30" si="3">IF(B7="","",IF(LEFT(D7,7)="Demanda",G7,G7/1000))</f>
        <v>39989.199999999997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  <c r="L7" s="1748"/>
    </row>
    <row r="8" spans="1:16">
      <c r="A8" s="68">
        <v>5697</v>
      </c>
      <c r="B8" s="147" t="s">
        <v>2342</v>
      </c>
      <c r="C8" s="147" t="s">
        <v>2036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15915265</v>
      </c>
      <c r="H8" s="147">
        <f t="shared" si="3"/>
        <v>15915.264999999999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2342</v>
      </c>
      <c r="C9" s="147" t="s">
        <v>2036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1700767</v>
      </c>
      <c r="H9" s="147">
        <f t="shared" si="3"/>
        <v>1700.7670000000001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4" t="s">
        <v>635</v>
      </c>
      <c r="C1" s="1018">
        <f>Resultado!C1</f>
        <v>0</v>
      </c>
      <c r="D1" s="1225"/>
      <c r="E1" s="1226"/>
      <c r="F1" s="1227"/>
      <c r="G1" s="1128" t="s">
        <v>873</v>
      </c>
      <c r="H1" s="1228">
        <f ca="1">LnkTXTIRTEco</f>
        <v>-0.10630000000000001</v>
      </c>
    </row>
    <row r="2" spans="2:27">
      <c r="B2" s="136" t="str">
        <f>CAPA!C9</f>
        <v>Coopermila</v>
      </c>
      <c r="C2" s="70"/>
      <c r="D2" s="70"/>
      <c r="G2" s="120" t="s">
        <v>877</v>
      </c>
      <c r="H2" s="146">
        <f ca="1">LnkTXTIRTTotal</f>
        <v>-0.2195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29" t="s">
        <v>1153</v>
      </c>
      <c r="C6" s="1229"/>
      <c r="D6" s="1229"/>
      <c r="E6" s="1229"/>
      <c r="F6" s="1229"/>
      <c r="G6" s="1229"/>
      <c r="H6" s="1229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0" t="s">
        <v>778</v>
      </c>
      <c r="C8" s="1230" t="s">
        <v>1154</v>
      </c>
      <c r="D8" s="1230" t="s">
        <v>1155</v>
      </c>
      <c r="E8" s="1230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1" t="s">
        <v>1157</v>
      </c>
      <c r="C10" s="1232">
        <f>SUMIFS($M$18:$M$63,$D$18:$D$63,"Fora Ponta")</f>
        <v>0</v>
      </c>
      <c r="D10" s="1232">
        <f>SUMIFS($J$18:$J$63,$D$18:$D$63,"Fora Ponta")</f>
        <v>0</v>
      </c>
      <c r="E10" s="1232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3" t="s">
        <v>1158</v>
      </c>
      <c r="G14" s="1234"/>
      <c r="H14" s="1234"/>
      <c r="I14" s="1234"/>
      <c r="J14" s="1234"/>
      <c r="K14" s="1234"/>
      <c r="L14" s="1234"/>
      <c r="M14" s="1234"/>
      <c r="N14" s="1234"/>
      <c r="O14" s="1234"/>
      <c r="P14" s="1234"/>
      <c r="Q14" s="1234"/>
      <c r="R14" s="1235"/>
    </row>
    <row r="15" spans="2:27">
      <c r="B15" s="1824" t="s">
        <v>1159</v>
      </c>
      <c r="C15" s="1825" t="s">
        <v>1160</v>
      </c>
      <c r="D15" s="1826" t="s">
        <v>78</v>
      </c>
      <c r="E15" s="1827" t="s">
        <v>1161</v>
      </c>
      <c r="F15" s="1827"/>
      <c r="G15" s="1827"/>
      <c r="H15" s="1828"/>
      <c r="I15" s="1829" t="s">
        <v>1162</v>
      </c>
      <c r="J15" s="1830"/>
      <c r="K15" s="1830"/>
      <c r="L15" s="1830"/>
      <c r="M15" s="1831" t="s">
        <v>1163</v>
      </c>
      <c r="N15" s="1832"/>
      <c r="O15" s="1832"/>
      <c r="P15" s="1832"/>
      <c r="Q15" s="1832"/>
      <c r="R15" s="1832"/>
      <c r="S15" s="1832"/>
      <c r="T15" s="1832"/>
      <c r="U15" s="1832"/>
      <c r="V15" s="1832"/>
      <c r="W15" s="1832"/>
      <c r="X15" s="1832"/>
      <c r="Y15" s="1832"/>
      <c r="Z15" s="65"/>
      <c r="AA15" s="382"/>
    </row>
    <row r="16" spans="2:27">
      <c r="B16" s="1824"/>
      <c r="C16" s="1825"/>
      <c r="D16" s="1826"/>
      <c r="E16" s="1835" t="s">
        <v>110</v>
      </c>
      <c r="F16" s="1836"/>
      <c r="G16" s="1836" t="s">
        <v>1164</v>
      </c>
      <c r="H16" s="1837"/>
      <c r="I16" s="1838" t="s">
        <v>110</v>
      </c>
      <c r="J16" s="1839"/>
      <c r="K16" s="1839" t="s">
        <v>1164</v>
      </c>
      <c r="L16" s="1840"/>
      <c r="M16" s="1833"/>
      <c r="N16" s="1834"/>
      <c r="O16" s="1834"/>
      <c r="P16" s="1834"/>
      <c r="Q16" s="1834"/>
      <c r="R16" s="1834"/>
      <c r="S16" s="1834"/>
      <c r="T16" s="1834"/>
      <c r="U16" s="1834"/>
      <c r="V16" s="1834"/>
      <c r="W16" s="1834"/>
      <c r="X16" s="1834"/>
      <c r="Y16" s="1834"/>
      <c r="Z16" s="65"/>
      <c r="AA16" s="382"/>
    </row>
    <row r="17" spans="2:27">
      <c r="B17" s="1824"/>
      <c r="C17" s="1825"/>
      <c r="D17" s="1826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6">
        <f>RBBD!B3</f>
        <v>0</v>
      </c>
      <c r="C18" s="1236">
        <f>RBBD!C3</f>
        <v>0</v>
      </c>
      <c r="D18" s="1236">
        <f>RBBD!D3</f>
        <v>0</v>
      </c>
      <c r="E18" s="1236">
        <f>RBBD!E3</f>
        <v>0</v>
      </c>
      <c r="F18" s="1236">
        <f>RBBD!F3</f>
        <v>0</v>
      </c>
      <c r="G18" s="1236">
        <f>RBBD!G3</f>
        <v>0</v>
      </c>
      <c r="H18" s="1236">
        <f>RBBD!H3</f>
        <v>0</v>
      </c>
      <c r="I18" s="1236">
        <f>E18*$M18</f>
        <v>0</v>
      </c>
      <c r="J18" s="1236">
        <f>F18*$M18</f>
        <v>0</v>
      </c>
      <c r="K18" s="1236">
        <f>G18*$M18</f>
        <v>0</v>
      </c>
      <c r="L18" s="1236">
        <f>H18*$M18</f>
        <v>0</v>
      </c>
      <c r="M18" s="1236">
        <f>SUM(N18:Y18)</f>
        <v>0</v>
      </c>
      <c r="N18" s="1236">
        <f>RBBD!I3</f>
        <v>0</v>
      </c>
      <c r="O18" s="1236">
        <f>RBBD!J3</f>
        <v>0</v>
      </c>
      <c r="P18" s="1236">
        <f>RBBD!K3</f>
        <v>0</v>
      </c>
      <c r="Q18" s="1236">
        <f>RBBD!L3</f>
        <v>0</v>
      </c>
      <c r="R18" s="1236">
        <f>RBBD!M3</f>
        <v>0</v>
      </c>
      <c r="S18" s="1236">
        <f>RBBD!N3</f>
        <v>0</v>
      </c>
      <c r="T18" s="1236">
        <f>RBBD!O3</f>
        <v>0</v>
      </c>
      <c r="U18" s="1236">
        <f>RBBD!P3</f>
        <v>0</v>
      </c>
      <c r="V18" s="1236">
        <f>RBBD!Q3</f>
        <v>0</v>
      </c>
      <c r="W18" s="1236">
        <f>RBBD!R3</f>
        <v>0</v>
      </c>
      <c r="X18" s="1236">
        <f>RBBD!S3</f>
        <v>0</v>
      </c>
      <c r="Y18" s="1236">
        <f>RBBD!T3</f>
        <v>0</v>
      </c>
      <c r="Z18" s="65"/>
      <c r="AA18" s="324">
        <f t="shared" ref="AA18:AA23" si="1">IF(B18=0,0,1)</f>
        <v>0</v>
      </c>
    </row>
    <row r="19" spans="2:27" hidden="1">
      <c r="B19" s="1236">
        <f>RBBD!B4</f>
        <v>0</v>
      </c>
      <c r="C19" s="1236">
        <f>RBBD!C4</f>
        <v>0</v>
      </c>
      <c r="D19" s="1236">
        <f>RBBD!D4</f>
        <v>0</v>
      </c>
      <c r="E19" s="1236">
        <f>RBBD!E4</f>
        <v>0</v>
      </c>
      <c r="F19" s="1236">
        <f>RBBD!F4</f>
        <v>0</v>
      </c>
      <c r="G19" s="1236">
        <f>RBBD!G4</f>
        <v>0</v>
      </c>
      <c r="H19" s="1236">
        <f>RBBD!H4</f>
        <v>0</v>
      </c>
      <c r="I19" s="1236">
        <f t="shared" ref="I19:L60" si="2">E19*$M19</f>
        <v>0</v>
      </c>
      <c r="J19" s="1236">
        <f t="shared" si="2"/>
        <v>0</v>
      </c>
      <c r="K19" s="1236">
        <f t="shared" si="2"/>
        <v>0</v>
      </c>
      <c r="L19" s="1236">
        <f t="shared" si="2"/>
        <v>0</v>
      </c>
      <c r="M19" s="1236">
        <f t="shared" ref="M19:M60" si="3">SUM(N19:Y19)</f>
        <v>0</v>
      </c>
      <c r="N19" s="1236">
        <f>RBBD!I4</f>
        <v>0</v>
      </c>
      <c r="O19" s="1236">
        <f>RBBD!J4</f>
        <v>0</v>
      </c>
      <c r="P19" s="1236">
        <f>RBBD!K4</f>
        <v>0</v>
      </c>
      <c r="Q19" s="1236">
        <f>RBBD!L4</f>
        <v>0</v>
      </c>
      <c r="R19" s="1236">
        <f>RBBD!M4</f>
        <v>0</v>
      </c>
      <c r="S19" s="1236">
        <f>RBBD!N4</f>
        <v>0</v>
      </c>
      <c r="T19" s="1236">
        <f>RBBD!O4</f>
        <v>0</v>
      </c>
      <c r="U19" s="1236">
        <f>RBBD!P4</f>
        <v>0</v>
      </c>
      <c r="V19" s="1236">
        <f>RBBD!Q4</f>
        <v>0</v>
      </c>
      <c r="W19" s="1236">
        <f>RBBD!R4</f>
        <v>0</v>
      </c>
      <c r="X19" s="1236">
        <f>RBBD!S4</f>
        <v>0</v>
      </c>
      <c r="Y19" s="1236">
        <f>RBBD!T4</f>
        <v>0</v>
      </c>
      <c r="Z19" s="65"/>
      <c r="AA19" s="324">
        <f t="shared" si="1"/>
        <v>0</v>
      </c>
    </row>
    <row r="20" spans="2:27" hidden="1">
      <c r="B20" s="1236">
        <f>RBBD!B5</f>
        <v>0</v>
      </c>
      <c r="C20" s="1236">
        <f>RBBD!C5</f>
        <v>0</v>
      </c>
      <c r="D20" s="1236">
        <f>RBBD!D5</f>
        <v>0</v>
      </c>
      <c r="E20" s="1236">
        <f>RBBD!E5</f>
        <v>0</v>
      </c>
      <c r="F20" s="1236">
        <f>RBBD!F5</f>
        <v>0</v>
      </c>
      <c r="G20" s="1236">
        <f>RBBD!G5</f>
        <v>0</v>
      </c>
      <c r="H20" s="1236">
        <f>RBBD!H5</f>
        <v>0</v>
      </c>
      <c r="I20" s="1236">
        <f t="shared" si="2"/>
        <v>0</v>
      </c>
      <c r="J20" s="1236">
        <f t="shared" si="2"/>
        <v>0</v>
      </c>
      <c r="K20" s="1236">
        <f t="shared" si="2"/>
        <v>0</v>
      </c>
      <c r="L20" s="1236">
        <f t="shared" si="2"/>
        <v>0</v>
      </c>
      <c r="M20" s="1236">
        <f t="shared" si="3"/>
        <v>0</v>
      </c>
      <c r="N20" s="1236">
        <f>RBBD!I5</f>
        <v>0</v>
      </c>
      <c r="O20" s="1236">
        <f>RBBD!J5</f>
        <v>0</v>
      </c>
      <c r="P20" s="1236">
        <f>RBBD!K5</f>
        <v>0</v>
      </c>
      <c r="Q20" s="1236">
        <f>RBBD!L5</f>
        <v>0</v>
      </c>
      <c r="R20" s="1236">
        <f>RBBD!M5</f>
        <v>0</v>
      </c>
      <c r="S20" s="1236">
        <f>RBBD!N5</f>
        <v>0</v>
      </c>
      <c r="T20" s="1236">
        <f>RBBD!O5</f>
        <v>0</v>
      </c>
      <c r="U20" s="1236">
        <f>RBBD!P5</f>
        <v>0</v>
      </c>
      <c r="V20" s="1236">
        <f>RBBD!Q5</f>
        <v>0</v>
      </c>
      <c r="W20" s="1236">
        <f>RBBD!R5</f>
        <v>0</v>
      </c>
      <c r="X20" s="1236">
        <f>RBBD!S5</f>
        <v>0</v>
      </c>
      <c r="Y20" s="1236">
        <f>RBBD!T5</f>
        <v>0</v>
      </c>
      <c r="Z20" s="65"/>
      <c r="AA20" s="324">
        <f t="shared" si="1"/>
        <v>0</v>
      </c>
    </row>
    <row r="21" spans="2:27" hidden="1">
      <c r="B21" s="1236">
        <f>RBBD!B6</f>
        <v>0</v>
      </c>
      <c r="C21" s="1236">
        <f>RBBD!C6</f>
        <v>0</v>
      </c>
      <c r="D21" s="1236">
        <f>RBBD!D6</f>
        <v>0</v>
      </c>
      <c r="E21" s="1236">
        <f>RBBD!E6</f>
        <v>0</v>
      </c>
      <c r="F21" s="1236">
        <f>RBBD!F6</f>
        <v>0</v>
      </c>
      <c r="G21" s="1236">
        <f>RBBD!G6</f>
        <v>0</v>
      </c>
      <c r="H21" s="1236">
        <f>RBBD!H6</f>
        <v>0</v>
      </c>
      <c r="I21" s="1236">
        <f t="shared" si="2"/>
        <v>0</v>
      </c>
      <c r="J21" s="1236">
        <f t="shared" si="2"/>
        <v>0</v>
      </c>
      <c r="K21" s="1236">
        <f t="shared" si="2"/>
        <v>0</v>
      </c>
      <c r="L21" s="1236">
        <f t="shared" si="2"/>
        <v>0</v>
      </c>
      <c r="M21" s="1236">
        <f t="shared" si="3"/>
        <v>0</v>
      </c>
      <c r="N21" s="1236">
        <f>RBBD!I6</f>
        <v>0</v>
      </c>
      <c r="O21" s="1236">
        <f>RBBD!J6</f>
        <v>0</v>
      </c>
      <c r="P21" s="1236">
        <f>RBBD!K6</f>
        <v>0</v>
      </c>
      <c r="Q21" s="1236">
        <f>RBBD!L6</f>
        <v>0</v>
      </c>
      <c r="R21" s="1236">
        <f>RBBD!M6</f>
        <v>0</v>
      </c>
      <c r="S21" s="1236">
        <f>RBBD!N6</f>
        <v>0</v>
      </c>
      <c r="T21" s="1236">
        <f>RBBD!O6</f>
        <v>0</v>
      </c>
      <c r="U21" s="1236">
        <f>RBBD!P6</f>
        <v>0</v>
      </c>
      <c r="V21" s="1236">
        <f>RBBD!Q6</f>
        <v>0</v>
      </c>
      <c r="W21" s="1236">
        <f>RBBD!R6</f>
        <v>0</v>
      </c>
      <c r="X21" s="1236">
        <f>RBBD!S6</f>
        <v>0</v>
      </c>
      <c r="Y21" s="1236">
        <f>RBBD!T6</f>
        <v>0</v>
      </c>
      <c r="Z21" s="65"/>
      <c r="AA21" s="324">
        <f t="shared" si="1"/>
        <v>0</v>
      </c>
    </row>
    <row r="22" spans="2:27" hidden="1">
      <c r="B22" s="1236">
        <f>RBBD!B7</f>
        <v>0</v>
      </c>
      <c r="C22" s="1236">
        <f>RBBD!C7</f>
        <v>0</v>
      </c>
      <c r="D22" s="1236">
        <f>RBBD!D7</f>
        <v>0</v>
      </c>
      <c r="E22" s="1236">
        <f>RBBD!E7</f>
        <v>0</v>
      </c>
      <c r="F22" s="1236">
        <f>RBBD!F7</f>
        <v>0</v>
      </c>
      <c r="G22" s="1236">
        <f>RBBD!G7</f>
        <v>0</v>
      </c>
      <c r="H22" s="1236">
        <f>RBBD!H7</f>
        <v>0</v>
      </c>
      <c r="I22" s="1236">
        <f t="shared" si="2"/>
        <v>0</v>
      </c>
      <c r="J22" s="1236">
        <f t="shared" si="2"/>
        <v>0</v>
      </c>
      <c r="K22" s="1236">
        <f t="shared" si="2"/>
        <v>0</v>
      </c>
      <c r="L22" s="1236">
        <f t="shared" si="2"/>
        <v>0</v>
      </c>
      <c r="M22" s="1236">
        <f t="shared" si="3"/>
        <v>0</v>
      </c>
      <c r="N22" s="1236">
        <f>RBBD!I7</f>
        <v>0</v>
      </c>
      <c r="O22" s="1236">
        <f>RBBD!J7</f>
        <v>0</v>
      </c>
      <c r="P22" s="1236">
        <f>RBBD!K7</f>
        <v>0</v>
      </c>
      <c r="Q22" s="1236">
        <f>RBBD!L7</f>
        <v>0</v>
      </c>
      <c r="R22" s="1236">
        <f>RBBD!M7</f>
        <v>0</v>
      </c>
      <c r="S22" s="1236">
        <f>RBBD!N7</f>
        <v>0</v>
      </c>
      <c r="T22" s="1236">
        <f>RBBD!O7</f>
        <v>0</v>
      </c>
      <c r="U22" s="1236">
        <f>RBBD!P7</f>
        <v>0</v>
      </c>
      <c r="V22" s="1236">
        <f>RBBD!Q7</f>
        <v>0</v>
      </c>
      <c r="W22" s="1236">
        <f>RBBD!R7</f>
        <v>0</v>
      </c>
      <c r="X22" s="1236">
        <f>RBBD!S7</f>
        <v>0</v>
      </c>
      <c r="Y22" s="1236">
        <f>RBBD!T7</f>
        <v>0</v>
      </c>
      <c r="Z22" s="65"/>
      <c r="AA22" s="324">
        <f t="shared" si="1"/>
        <v>0</v>
      </c>
    </row>
    <row r="23" spans="2:27" hidden="1">
      <c r="B23" s="1236">
        <f>RBBD!B8</f>
        <v>0</v>
      </c>
      <c r="C23" s="1236">
        <f>RBBD!C8</f>
        <v>0</v>
      </c>
      <c r="D23" s="1236">
        <f>RBBD!D8</f>
        <v>0</v>
      </c>
      <c r="E23" s="1236">
        <f>RBBD!E8</f>
        <v>0</v>
      </c>
      <c r="F23" s="1236">
        <f>RBBD!F8</f>
        <v>0</v>
      </c>
      <c r="G23" s="1236">
        <f>RBBD!G8</f>
        <v>0</v>
      </c>
      <c r="H23" s="1236">
        <f>RBBD!H8</f>
        <v>0</v>
      </c>
      <c r="I23" s="1236">
        <f t="shared" si="2"/>
        <v>0</v>
      </c>
      <c r="J23" s="1236">
        <f t="shared" si="2"/>
        <v>0</v>
      </c>
      <c r="K23" s="1236">
        <f t="shared" si="2"/>
        <v>0</v>
      </c>
      <c r="L23" s="1236">
        <f t="shared" si="2"/>
        <v>0</v>
      </c>
      <c r="M23" s="1236">
        <f t="shared" si="3"/>
        <v>0</v>
      </c>
      <c r="N23" s="1236">
        <f>RBBD!I8</f>
        <v>0</v>
      </c>
      <c r="O23" s="1236">
        <f>RBBD!J8</f>
        <v>0</v>
      </c>
      <c r="P23" s="1236">
        <f>RBBD!K8</f>
        <v>0</v>
      </c>
      <c r="Q23" s="1236">
        <f>RBBD!L8</f>
        <v>0</v>
      </c>
      <c r="R23" s="1236">
        <f>RBBD!M8</f>
        <v>0</v>
      </c>
      <c r="S23" s="1236">
        <f>RBBD!N8</f>
        <v>0</v>
      </c>
      <c r="T23" s="1236">
        <f>RBBD!O8</f>
        <v>0</v>
      </c>
      <c r="U23" s="1236">
        <f>RBBD!P8</f>
        <v>0</v>
      </c>
      <c r="V23" s="1236">
        <f>RBBD!Q8</f>
        <v>0</v>
      </c>
      <c r="W23" s="1236">
        <f>RBBD!R8</f>
        <v>0</v>
      </c>
      <c r="X23" s="1236">
        <f>RBBD!S8</f>
        <v>0</v>
      </c>
      <c r="Y23" s="1236">
        <f>RBBD!T8</f>
        <v>0</v>
      </c>
      <c r="Z23" s="65"/>
      <c r="AA23" s="324">
        <f t="shared" si="1"/>
        <v>0</v>
      </c>
    </row>
    <row r="24" spans="2:27" hidden="1">
      <c r="B24" s="1236">
        <f>RBBD!B9</f>
        <v>0</v>
      </c>
      <c r="C24" s="1236">
        <f>RBBD!C9</f>
        <v>0</v>
      </c>
      <c r="D24" s="1236">
        <f>RBBD!D9</f>
        <v>0</v>
      </c>
      <c r="E24" s="1236">
        <f>RBBD!E9</f>
        <v>0</v>
      </c>
      <c r="F24" s="1236">
        <f>RBBD!F9</f>
        <v>0</v>
      </c>
      <c r="G24" s="1236">
        <f>RBBD!G9</f>
        <v>0</v>
      </c>
      <c r="H24" s="1236">
        <f>RBBD!H9</f>
        <v>0</v>
      </c>
      <c r="I24" s="1236">
        <f t="shared" si="2"/>
        <v>0</v>
      </c>
      <c r="J24" s="1236">
        <f t="shared" si="2"/>
        <v>0</v>
      </c>
      <c r="K24" s="1236">
        <f t="shared" si="2"/>
        <v>0</v>
      </c>
      <c r="L24" s="1236">
        <f t="shared" si="2"/>
        <v>0</v>
      </c>
      <c r="M24" s="1236">
        <f t="shared" si="3"/>
        <v>0</v>
      </c>
      <c r="N24" s="1236">
        <f>RBBD!I9</f>
        <v>0</v>
      </c>
      <c r="O24" s="1236">
        <f>RBBD!J9</f>
        <v>0</v>
      </c>
      <c r="P24" s="1236">
        <f>RBBD!K9</f>
        <v>0</v>
      </c>
      <c r="Q24" s="1236">
        <f>RBBD!L9</f>
        <v>0</v>
      </c>
      <c r="R24" s="1236">
        <f>RBBD!M9</f>
        <v>0</v>
      </c>
      <c r="S24" s="1236">
        <f>RBBD!N9</f>
        <v>0</v>
      </c>
      <c r="T24" s="1236">
        <f>RBBD!O9</f>
        <v>0</v>
      </c>
      <c r="U24" s="1236">
        <f>RBBD!P9</f>
        <v>0</v>
      </c>
      <c r="V24" s="1236">
        <f>RBBD!Q9</f>
        <v>0</v>
      </c>
      <c r="W24" s="1236">
        <f>RBBD!R9</f>
        <v>0</v>
      </c>
      <c r="X24" s="1236">
        <f>RBBD!S9</f>
        <v>0</v>
      </c>
      <c r="Y24" s="1236">
        <f>RBBD!T9</f>
        <v>0</v>
      </c>
      <c r="Z24" s="65"/>
      <c r="AA24" s="324">
        <f t="shared" ref="AA24:AA38" si="4">IF(B24=0,0,1)</f>
        <v>0</v>
      </c>
    </row>
    <row r="25" spans="2:27" hidden="1">
      <c r="B25" s="1236">
        <f>RBBD!B10</f>
        <v>0</v>
      </c>
      <c r="C25" s="1236">
        <f>RBBD!C10</f>
        <v>0</v>
      </c>
      <c r="D25" s="1236">
        <f>RBBD!D10</f>
        <v>0</v>
      </c>
      <c r="E25" s="1236">
        <f>RBBD!E10</f>
        <v>0</v>
      </c>
      <c r="F25" s="1236">
        <f>RBBD!F10</f>
        <v>0</v>
      </c>
      <c r="G25" s="1236">
        <f>RBBD!G10</f>
        <v>0</v>
      </c>
      <c r="H25" s="1236">
        <f>RBBD!H10</f>
        <v>0</v>
      </c>
      <c r="I25" s="1236">
        <f t="shared" si="2"/>
        <v>0</v>
      </c>
      <c r="J25" s="1236">
        <f t="shared" si="2"/>
        <v>0</v>
      </c>
      <c r="K25" s="1236">
        <f t="shared" si="2"/>
        <v>0</v>
      </c>
      <c r="L25" s="1236">
        <f t="shared" si="2"/>
        <v>0</v>
      </c>
      <c r="M25" s="1236">
        <f t="shared" si="3"/>
        <v>0</v>
      </c>
      <c r="N25" s="1236">
        <f>RBBD!I10</f>
        <v>0</v>
      </c>
      <c r="O25" s="1236">
        <f>RBBD!J10</f>
        <v>0</v>
      </c>
      <c r="P25" s="1236">
        <f>RBBD!K10</f>
        <v>0</v>
      </c>
      <c r="Q25" s="1236">
        <f>RBBD!L10</f>
        <v>0</v>
      </c>
      <c r="R25" s="1236">
        <f>RBBD!M10</f>
        <v>0</v>
      </c>
      <c r="S25" s="1236">
        <f>RBBD!N10</f>
        <v>0</v>
      </c>
      <c r="T25" s="1236">
        <f>RBBD!O10</f>
        <v>0</v>
      </c>
      <c r="U25" s="1236">
        <f>RBBD!P10</f>
        <v>0</v>
      </c>
      <c r="V25" s="1236">
        <f>RBBD!Q10</f>
        <v>0</v>
      </c>
      <c r="W25" s="1236">
        <f>RBBD!R10</f>
        <v>0</v>
      </c>
      <c r="X25" s="1236">
        <f>RBBD!S10</f>
        <v>0</v>
      </c>
      <c r="Y25" s="1236">
        <f>RBBD!T10</f>
        <v>0</v>
      </c>
      <c r="Z25" s="65"/>
      <c r="AA25" s="324">
        <f t="shared" si="4"/>
        <v>0</v>
      </c>
    </row>
    <row r="26" spans="2:27" hidden="1">
      <c r="B26" s="1236">
        <f>RBBD!B11</f>
        <v>0</v>
      </c>
      <c r="C26" s="1236">
        <f>RBBD!C11</f>
        <v>0</v>
      </c>
      <c r="D26" s="1236">
        <f>RBBD!D11</f>
        <v>0</v>
      </c>
      <c r="E26" s="1236">
        <f>RBBD!E11</f>
        <v>0</v>
      </c>
      <c r="F26" s="1236">
        <f>RBBD!F11</f>
        <v>0</v>
      </c>
      <c r="G26" s="1236">
        <f>RBBD!G11</f>
        <v>0</v>
      </c>
      <c r="H26" s="1236">
        <f>RBBD!H11</f>
        <v>0</v>
      </c>
      <c r="I26" s="1236">
        <f t="shared" si="2"/>
        <v>0</v>
      </c>
      <c r="J26" s="1236">
        <f t="shared" si="2"/>
        <v>0</v>
      </c>
      <c r="K26" s="1236">
        <f t="shared" si="2"/>
        <v>0</v>
      </c>
      <c r="L26" s="1236">
        <f t="shared" si="2"/>
        <v>0</v>
      </c>
      <c r="M26" s="1236">
        <f t="shared" si="3"/>
        <v>0</v>
      </c>
      <c r="N26" s="1236">
        <f>RBBD!I11</f>
        <v>0</v>
      </c>
      <c r="O26" s="1236">
        <f>RBBD!J11</f>
        <v>0</v>
      </c>
      <c r="P26" s="1236">
        <f>RBBD!K11</f>
        <v>0</v>
      </c>
      <c r="Q26" s="1236">
        <f>RBBD!L11</f>
        <v>0</v>
      </c>
      <c r="R26" s="1236">
        <f>RBBD!M11</f>
        <v>0</v>
      </c>
      <c r="S26" s="1236">
        <f>RBBD!N11</f>
        <v>0</v>
      </c>
      <c r="T26" s="1236">
        <f>RBBD!O11</f>
        <v>0</v>
      </c>
      <c r="U26" s="1236">
        <f>RBBD!P11</f>
        <v>0</v>
      </c>
      <c r="V26" s="1236">
        <f>RBBD!Q11</f>
        <v>0</v>
      </c>
      <c r="W26" s="1236">
        <f>RBBD!R11</f>
        <v>0</v>
      </c>
      <c r="X26" s="1236">
        <f>RBBD!S11</f>
        <v>0</v>
      </c>
      <c r="Y26" s="1236">
        <f>RBBD!T11</f>
        <v>0</v>
      </c>
      <c r="Z26" s="65"/>
      <c r="AA26" s="324">
        <f t="shared" si="4"/>
        <v>0</v>
      </c>
    </row>
    <row r="27" spans="2:27" hidden="1">
      <c r="B27" s="1236">
        <f>RBBD!B12</f>
        <v>0</v>
      </c>
      <c r="C27" s="1236">
        <f>RBBD!C12</f>
        <v>0</v>
      </c>
      <c r="D27" s="1236">
        <f>RBBD!D12</f>
        <v>0</v>
      </c>
      <c r="E27" s="1236">
        <f>RBBD!E12</f>
        <v>0</v>
      </c>
      <c r="F27" s="1236">
        <f>RBBD!F12</f>
        <v>0</v>
      </c>
      <c r="G27" s="1236">
        <f>RBBD!G12</f>
        <v>0</v>
      </c>
      <c r="H27" s="1236">
        <f>RBBD!H12</f>
        <v>0</v>
      </c>
      <c r="I27" s="1236">
        <f t="shared" si="2"/>
        <v>0</v>
      </c>
      <c r="J27" s="1236">
        <f t="shared" si="2"/>
        <v>0</v>
      </c>
      <c r="K27" s="1236">
        <f t="shared" si="2"/>
        <v>0</v>
      </c>
      <c r="L27" s="1236">
        <f t="shared" si="2"/>
        <v>0</v>
      </c>
      <c r="M27" s="1236">
        <f t="shared" si="3"/>
        <v>0</v>
      </c>
      <c r="N27" s="1236">
        <f>RBBD!I12</f>
        <v>0</v>
      </c>
      <c r="O27" s="1236">
        <f>RBBD!J12</f>
        <v>0</v>
      </c>
      <c r="P27" s="1236">
        <f>RBBD!K12</f>
        <v>0</v>
      </c>
      <c r="Q27" s="1236">
        <f>RBBD!L12</f>
        <v>0</v>
      </c>
      <c r="R27" s="1236">
        <f>RBBD!M12</f>
        <v>0</v>
      </c>
      <c r="S27" s="1236">
        <f>RBBD!N12</f>
        <v>0</v>
      </c>
      <c r="T27" s="1236">
        <f>RBBD!O12</f>
        <v>0</v>
      </c>
      <c r="U27" s="1236">
        <f>RBBD!P12</f>
        <v>0</v>
      </c>
      <c r="V27" s="1236">
        <f>RBBD!Q12</f>
        <v>0</v>
      </c>
      <c r="W27" s="1236">
        <f>RBBD!R12</f>
        <v>0</v>
      </c>
      <c r="X27" s="1236">
        <f>RBBD!S12</f>
        <v>0</v>
      </c>
      <c r="Y27" s="1236">
        <f>RBBD!T12</f>
        <v>0</v>
      </c>
      <c r="Z27" s="65"/>
      <c r="AA27" s="324">
        <f t="shared" si="4"/>
        <v>0</v>
      </c>
    </row>
    <row r="28" spans="2:27" hidden="1">
      <c r="B28" s="1236">
        <f>RBBD!B13</f>
        <v>0</v>
      </c>
      <c r="C28" s="1236">
        <f>RBBD!C13</f>
        <v>0</v>
      </c>
      <c r="D28" s="1236">
        <f>RBBD!D13</f>
        <v>0</v>
      </c>
      <c r="E28" s="1236">
        <f>RBBD!G13</f>
        <v>0</v>
      </c>
      <c r="F28" s="1236">
        <f>RBBD!H13</f>
        <v>0</v>
      </c>
      <c r="G28" s="1236">
        <f>RBBD!E13</f>
        <v>0</v>
      </c>
      <c r="H28" s="1236">
        <f>RBBD!F13</f>
        <v>0</v>
      </c>
      <c r="I28" s="1236">
        <f t="shared" si="2"/>
        <v>0</v>
      </c>
      <c r="J28" s="1236">
        <f t="shared" si="2"/>
        <v>0</v>
      </c>
      <c r="K28" s="1236">
        <f t="shared" si="2"/>
        <v>0</v>
      </c>
      <c r="L28" s="1236">
        <f t="shared" si="2"/>
        <v>0</v>
      </c>
      <c r="M28" s="1236">
        <f t="shared" si="3"/>
        <v>0</v>
      </c>
      <c r="N28" s="1236">
        <f>RBBD!I13</f>
        <v>0</v>
      </c>
      <c r="O28" s="1236">
        <f>RBBD!J13</f>
        <v>0</v>
      </c>
      <c r="P28" s="1236">
        <f>RBBD!K13</f>
        <v>0</v>
      </c>
      <c r="Q28" s="1236">
        <f>RBBD!L13</f>
        <v>0</v>
      </c>
      <c r="R28" s="1236">
        <f>RBBD!M13</f>
        <v>0</v>
      </c>
      <c r="S28" s="1236">
        <f>RBBD!N13</f>
        <v>0</v>
      </c>
      <c r="T28" s="1236">
        <f>RBBD!O13</f>
        <v>0</v>
      </c>
      <c r="U28" s="1236">
        <f>RBBD!P13</f>
        <v>0</v>
      </c>
      <c r="V28" s="1236">
        <f>RBBD!Q13</f>
        <v>0</v>
      </c>
      <c r="W28" s="1236">
        <f>RBBD!R13</f>
        <v>0</v>
      </c>
      <c r="X28" s="1236">
        <f>RBBD!S13</f>
        <v>0</v>
      </c>
      <c r="Y28" s="1236">
        <f>RBBD!T13</f>
        <v>0</v>
      </c>
      <c r="Z28" s="65"/>
      <c r="AA28" s="324">
        <f t="shared" si="4"/>
        <v>0</v>
      </c>
    </row>
    <row r="29" spans="2:27" hidden="1">
      <c r="B29" s="1236">
        <f>RBBD!B14</f>
        <v>0</v>
      </c>
      <c r="C29" s="1236">
        <f>RBBD!C14</f>
        <v>0</v>
      </c>
      <c r="D29" s="1236">
        <f>RBBD!D14</f>
        <v>0</v>
      </c>
      <c r="E29" s="1236">
        <f>RBBD!G14</f>
        <v>0</v>
      </c>
      <c r="F29" s="1236">
        <f>RBBD!H14</f>
        <v>0</v>
      </c>
      <c r="G29" s="1236">
        <f>RBBD!E14</f>
        <v>0</v>
      </c>
      <c r="H29" s="1236">
        <f>RBBD!F14</f>
        <v>0</v>
      </c>
      <c r="I29" s="1236">
        <f t="shared" si="2"/>
        <v>0</v>
      </c>
      <c r="J29" s="1236">
        <f t="shared" si="2"/>
        <v>0</v>
      </c>
      <c r="K29" s="1236">
        <f t="shared" si="2"/>
        <v>0</v>
      </c>
      <c r="L29" s="1236">
        <f t="shared" si="2"/>
        <v>0</v>
      </c>
      <c r="M29" s="1236">
        <f t="shared" si="3"/>
        <v>0</v>
      </c>
      <c r="N29" s="1236">
        <f>RBBD!I14</f>
        <v>0</v>
      </c>
      <c r="O29" s="1236">
        <f>RBBD!J14</f>
        <v>0</v>
      </c>
      <c r="P29" s="1236">
        <f>RBBD!K14</f>
        <v>0</v>
      </c>
      <c r="Q29" s="1236">
        <f>RBBD!L14</f>
        <v>0</v>
      </c>
      <c r="R29" s="1236">
        <f>RBBD!M14</f>
        <v>0</v>
      </c>
      <c r="S29" s="1236">
        <f>RBBD!N14</f>
        <v>0</v>
      </c>
      <c r="T29" s="1236">
        <f>RBBD!O14</f>
        <v>0</v>
      </c>
      <c r="U29" s="1236">
        <f>RBBD!P14</f>
        <v>0</v>
      </c>
      <c r="V29" s="1236">
        <f>RBBD!Q14</f>
        <v>0</v>
      </c>
      <c r="W29" s="1236">
        <f>RBBD!R14</f>
        <v>0</v>
      </c>
      <c r="X29" s="1236">
        <f>RBBD!S14</f>
        <v>0</v>
      </c>
      <c r="Y29" s="1236">
        <f>RBBD!T14</f>
        <v>0</v>
      </c>
      <c r="Z29" s="65"/>
      <c r="AA29" s="324">
        <f t="shared" si="4"/>
        <v>0</v>
      </c>
    </row>
    <row r="30" spans="2:27" hidden="1">
      <c r="B30" s="1236">
        <f>RBBD!B15</f>
        <v>0</v>
      </c>
      <c r="C30" s="1236">
        <f>RBBD!C15</f>
        <v>0</v>
      </c>
      <c r="D30" s="1236">
        <f>RBBD!D15</f>
        <v>0</v>
      </c>
      <c r="E30" s="1236">
        <f>RBBD!G15</f>
        <v>0</v>
      </c>
      <c r="F30" s="1236">
        <f>RBBD!H15</f>
        <v>0</v>
      </c>
      <c r="G30" s="1236">
        <f>RBBD!E15</f>
        <v>0</v>
      </c>
      <c r="H30" s="1236">
        <f>RBBD!F15</f>
        <v>0</v>
      </c>
      <c r="I30" s="1236">
        <f t="shared" si="2"/>
        <v>0</v>
      </c>
      <c r="J30" s="1236">
        <f t="shared" si="2"/>
        <v>0</v>
      </c>
      <c r="K30" s="1236">
        <f t="shared" si="2"/>
        <v>0</v>
      </c>
      <c r="L30" s="1236">
        <f t="shared" si="2"/>
        <v>0</v>
      </c>
      <c r="M30" s="1236">
        <f t="shared" si="3"/>
        <v>0</v>
      </c>
      <c r="N30" s="1236">
        <f>RBBD!I15</f>
        <v>0</v>
      </c>
      <c r="O30" s="1236">
        <f>RBBD!J15</f>
        <v>0</v>
      </c>
      <c r="P30" s="1236">
        <f>RBBD!K15</f>
        <v>0</v>
      </c>
      <c r="Q30" s="1236">
        <f>RBBD!L15</f>
        <v>0</v>
      </c>
      <c r="R30" s="1236">
        <f>RBBD!M15</f>
        <v>0</v>
      </c>
      <c r="S30" s="1236">
        <f>RBBD!N15</f>
        <v>0</v>
      </c>
      <c r="T30" s="1236">
        <f>RBBD!O15</f>
        <v>0</v>
      </c>
      <c r="U30" s="1236">
        <f>RBBD!P15</f>
        <v>0</v>
      </c>
      <c r="V30" s="1236">
        <f>RBBD!Q15</f>
        <v>0</v>
      </c>
      <c r="W30" s="1236">
        <f>RBBD!R15</f>
        <v>0</v>
      </c>
      <c r="X30" s="1236">
        <f>RBBD!S15</f>
        <v>0</v>
      </c>
      <c r="Y30" s="1236">
        <f>RBBD!T15</f>
        <v>0</v>
      </c>
      <c r="Z30" s="65"/>
      <c r="AA30" s="324">
        <f t="shared" si="4"/>
        <v>0</v>
      </c>
    </row>
    <row r="31" spans="2:27" hidden="1">
      <c r="B31" s="1236">
        <f>RBBD!B16</f>
        <v>0</v>
      </c>
      <c r="C31" s="1236">
        <f>RBBD!C16</f>
        <v>0</v>
      </c>
      <c r="D31" s="1236">
        <f>RBBD!D16</f>
        <v>0</v>
      </c>
      <c r="E31" s="1236">
        <f>RBBD!G16</f>
        <v>0</v>
      </c>
      <c r="F31" s="1236">
        <f>RBBD!H16</f>
        <v>0</v>
      </c>
      <c r="G31" s="1236">
        <f>RBBD!E16</f>
        <v>0</v>
      </c>
      <c r="H31" s="1236">
        <f>RBBD!F16</f>
        <v>0</v>
      </c>
      <c r="I31" s="1236">
        <f t="shared" si="2"/>
        <v>0</v>
      </c>
      <c r="J31" s="1236">
        <f t="shared" si="2"/>
        <v>0</v>
      </c>
      <c r="K31" s="1236">
        <f t="shared" si="2"/>
        <v>0</v>
      </c>
      <c r="L31" s="1236">
        <f t="shared" si="2"/>
        <v>0</v>
      </c>
      <c r="M31" s="1236">
        <f t="shared" si="3"/>
        <v>0</v>
      </c>
      <c r="N31" s="1236">
        <f>RBBD!I16</f>
        <v>0</v>
      </c>
      <c r="O31" s="1236">
        <f>RBBD!J16</f>
        <v>0</v>
      </c>
      <c r="P31" s="1236">
        <f>RBBD!K16</f>
        <v>0</v>
      </c>
      <c r="Q31" s="1236">
        <f>RBBD!L16</f>
        <v>0</v>
      </c>
      <c r="R31" s="1236">
        <f>RBBD!M16</f>
        <v>0</v>
      </c>
      <c r="S31" s="1236">
        <f>RBBD!N16</f>
        <v>0</v>
      </c>
      <c r="T31" s="1236">
        <f>RBBD!O16</f>
        <v>0</v>
      </c>
      <c r="U31" s="1236">
        <f>RBBD!P16</f>
        <v>0</v>
      </c>
      <c r="V31" s="1236">
        <f>RBBD!Q16</f>
        <v>0</v>
      </c>
      <c r="W31" s="1236">
        <f>RBBD!R16</f>
        <v>0</v>
      </c>
      <c r="X31" s="1236">
        <f>RBBD!S16</f>
        <v>0</v>
      </c>
      <c r="Y31" s="1236">
        <f>RBBD!T16</f>
        <v>0</v>
      </c>
      <c r="Z31" s="65"/>
      <c r="AA31" s="324">
        <f t="shared" si="4"/>
        <v>0</v>
      </c>
    </row>
    <row r="32" spans="2:27" hidden="1">
      <c r="B32" s="1236">
        <f>RBBD!B17</f>
        <v>0</v>
      </c>
      <c r="C32" s="1236">
        <f>RBBD!C17</f>
        <v>0</v>
      </c>
      <c r="D32" s="1236">
        <f>RBBD!D17</f>
        <v>0</v>
      </c>
      <c r="E32" s="1236">
        <f>RBBD!G17</f>
        <v>0</v>
      </c>
      <c r="F32" s="1236">
        <f>RBBD!H17</f>
        <v>0</v>
      </c>
      <c r="G32" s="1236">
        <f>RBBD!E17</f>
        <v>0</v>
      </c>
      <c r="H32" s="1236">
        <f>RBBD!F17</f>
        <v>0</v>
      </c>
      <c r="I32" s="1236">
        <f t="shared" si="2"/>
        <v>0</v>
      </c>
      <c r="J32" s="1236">
        <f t="shared" si="2"/>
        <v>0</v>
      </c>
      <c r="K32" s="1236">
        <f t="shared" si="2"/>
        <v>0</v>
      </c>
      <c r="L32" s="1236">
        <f t="shared" si="2"/>
        <v>0</v>
      </c>
      <c r="M32" s="1236">
        <f t="shared" si="3"/>
        <v>0</v>
      </c>
      <c r="N32" s="1236">
        <f>RBBD!I17</f>
        <v>0</v>
      </c>
      <c r="O32" s="1236">
        <f>RBBD!J17</f>
        <v>0</v>
      </c>
      <c r="P32" s="1236">
        <f>RBBD!K17</f>
        <v>0</v>
      </c>
      <c r="Q32" s="1236">
        <f>RBBD!L17</f>
        <v>0</v>
      </c>
      <c r="R32" s="1236">
        <f>RBBD!M17</f>
        <v>0</v>
      </c>
      <c r="S32" s="1236">
        <f>RBBD!N17</f>
        <v>0</v>
      </c>
      <c r="T32" s="1236">
        <f>RBBD!O17</f>
        <v>0</v>
      </c>
      <c r="U32" s="1236">
        <f>RBBD!P17</f>
        <v>0</v>
      </c>
      <c r="V32" s="1236">
        <f>RBBD!Q17</f>
        <v>0</v>
      </c>
      <c r="W32" s="1236">
        <f>RBBD!R17</f>
        <v>0</v>
      </c>
      <c r="X32" s="1236">
        <f>RBBD!S17</f>
        <v>0</v>
      </c>
      <c r="Y32" s="1236">
        <f>RBBD!T17</f>
        <v>0</v>
      </c>
      <c r="Z32" s="65"/>
      <c r="AA32" s="324">
        <f t="shared" si="4"/>
        <v>0</v>
      </c>
    </row>
    <row r="33" spans="2:27" hidden="1">
      <c r="B33" s="1236">
        <f>RBBD!B18</f>
        <v>0</v>
      </c>
      <c r="C33" s="1236">
        <f>RBBD!C18</f>
        <v>0</v>
      </c>
      <c r="D33" s="1236">
        <f>RBBD!D18</f>
        <v>0</v>
      </c>
      <c r="E33" s="1236">
        <f>RBBD!G18</f>
        <v>0</v>
      </c>
      <c r="F33" s="1236">
        <f>RBBD!H18</f>
        <v>0</v>
      </c>
      <c r="G33" s="1236">
        <f>RBBD!E18</f>
        <v>0</v>
      </c>
      <c r="H33" s="1236">
        <f>RBBD!F18</f>
        <v>0</v>
      </c>
      <c r="I33" s="1236">
        <f t="shared" si="2"/>
        <v>0</v>
      </c>
      <c r="J33" s="1236">
        <f t="shared" si="2"/>
        <v>0</v>
      </c>
      <c r="K33" s="1236">
        <f t="shared" si="2"/>
        <v>0</v>
      </c>
      <c r="L33" s="1236">
        <f t="shared" si="2"/>
        <v>0</v>
      </c>
      <c r="M33" s="1236">
        <f t="shared" si="3"/>
        <v>0</v>
      </c>
      <c r="N33" s="1236">
        <f>RBBD!I18</f>
        <v>0</v>
      </c>
      <c r="O33" s="1236">
        <f>RBBD!J18</f>
        <v>0</v>
      </c>
      <c r="P33" s="1236">
        <f>RBBD!K18</f>
        <v>0</v>
      </c>
      <c r="Q33" s="1236">
        <f>RBBD!L18</f>
        <v>0</v>
      </c>
      <c r="R33" s="1236">
        <f>RBBD!M18</f>
        <v>0</v>
      </c>
      <c r="S33" s="1236">
        <f>RBBD!N18</f>
        <v>0</v>
      </c>
      <c r="T33" s="1236">
        <f>RBBD!O18</f>
        <v>0</v>
      </c>
      <c r="U33" s="1236">
        <f>RBBD!P18</f>
        <v>0</v>
      </c>
      <c r="V33" s="1236">
        <f>RBBD!Q18</f>
        <v>0</v>
      </c>
      <c r="W33" s="1236">
        <f>RBBD!R18</f>
        <v>0</v>
      </c>
      <c r="X33" s="1236">
        <f>RBBD!S18</f>
        <v>0</v>
      </c>
      <c r="Y33" s="1236">
        <f>RBBD!T18</f>
        <v>0</v>
      </c>
      <c r="Z33" s="65"/>
      <c r="AA33" s="324">
        <f t="shared" si="4"/>
        <v>0</v>
      </c>
    </row>
    <row r="34" spans="2:27" hidden="1">
      <c r="B34" s="1236">
        <f>RBBD!B19</f>
        <v>0</v>
      </c>
      <c r="C34" s="1236">
        <f>RBBD!C19</f>
        <v>0</v>
      </c>
      <c r="D34" s="1236">
        <f>RBBD!D19</f>
        <v>0</v>
      </c>
      <c r="E34" s="1236">
        <f>RBBD!G19</f>
        <v>0</v>
      </c>
      <c r="F34" s="1236">
        <f>RBBD!H19</f>
        <v>0</v>
      </c>
      <c r="G34" s="1236">
        <f>RBBD!E19</f>
        <v>0</v>
      </c>
      <c r="H34" s="1236">
        <f>RBBD!F19</f>
        <v>0</v>
      </c>
      <c r="I34" s="1236">
        <f t="shared" si="2"/>
        <v>0</v>
      </c>
      <c r="J34" s="1236">
        <f t="shared" si="2"/>
        <v>0</v>
      </c>
      <c r="K34" s="1236">
        <f t="shared" si="2"/>
        <v>0</v>
      </c>
      <c r="L34" s="1236">
        <f t="shared" si="2"/>
        <v>0</v>
      </c>
      <c r="M34" s="1236">
        <f t="shared" si="3"/>
        <v>0</v>
      </c>
      <c r="N34" s="1236">
        <f>RBBD!I19</f>
        <v>0</v>
      </c>
      <c r="O34" s="1236">
        <f>RBBD!J19</f>
        <v>0</v>
      </c>
      <c r="P34" s="1236">
        <f>RBBD!K19</f>
        <v>0</v>
      </c>
      <c r="Q34" s="1236">
        <f>RBBD!L19</f>
        <v>0</v>
      </c>
      <c r="R34" s="1236">
        <f>RBBD!M19</f>
        <v>0</v>
      </c>
      <c r="S34" s="1236">
        <f>RBBD!N19</f>
        <v>0</v>
      </c>
      <c r="T34" s="1236">
        <f>RBBD!O19</f>
        <v>0</v>
      </c>
      <c r="U34" s="1236">
        <f>RBBD!P19</f>
        <v>0</v>
      </c>
      <c r="V34" s="1236">
        <f>RBBD!Q19</f>
        <v>0</v>
      </c>
      <c r="W34" s="1236">
        <f>RBBD!R19</f>
        <v>0</v>
      </c>
      <c r="X34" s="1236">
        <f>RBBD!S19</f>
        <v>0</v>
      </c>
      <c r="Y34" s="1236">
        <f>RBBD!T19</f>
        <v>0</v>
      </c>
      <c r="Z34" s="65"/>
      <c r="AA34" s="324">
        <f t="shared" si="4"/>
        <v>0</v>
      </c>
    </row>
    <row r="35" spans="2:27" hidden="1">
      <c r="B35" s="1236">
        <f>RBBD!B20</f>
        <v>0</v>
      </c>
      <c r="C35" s="1236">
        <f>RBBD!C20</f>
        <v>0</v>
      </c>
      <c r="D35" s="1236">
        <f>RBBD!D20</f>
        <v>0</v>
      </c>
      <c r="E35" s="1236">
        <f>RBBD!G20</f>
        <v>0</v>
      </c>
      <c r="F35" s="1236">
        <f>RBBD!H20</f>
        <v>0</v>
      </c>
      <c r="G35" s="1236">
        <f>RBBD!E20</f>
        <v>0</v>
      </c>
      <c r="H35" s="1236">
        <f>RBBD!F20</f>
        <v>0</v>
      </c>
      <c r="I35" s="1236">
        <f t="shared" si="2"/>
        <v>0</v>
      </c>
      <c r="J35" s="1236">
        <f t="shared" si="2"/>
        <v>0</v>
      </c>
      <c r="K35" s="1236">
        <f t="shared" si="2"/>
        <v>0</v>
      </c>
      <c r="L35" s="1236">
        <f t="shared" si="2"/>
        <v>0</v>
      </c>
      <c r="M35" s="1236">
        <f t="shared" si="3"/>
        <v>0</v>
      </c>
      <c r="N35" s="1236">
        <f>RBBD!I20</f>
        <v>0</v>
      </c>
      <c r="O35" s="1236">
        <f>RBBD!J20</f>
        <v>0</v>
      </c>
      <c r="P35" s="1236">
        <f>RBBD!K20</f>
        <v>0</v>
      </c>
      <c r="Q35" s="1236">
        <f>RBBD!L20</f>
        <v>0</v>
      </c>
      <c r="R35" s="1236">
        <f>RBBD!M20</f>
        <v>0</v>
      </c>
      <c r="S35" s="1236">
        <f>RBBD!N20</f>
        <v>0</v>
      </c>
      <c r="T35" s="1236">
        <f>RBBD!O20</f>
        <v>0</v>
      </c>
      <c r="U35" s="1236">
        <f>RBBD!P20</f>
        <v>0</v>
      </c>
      <c r="V35" s="1236">
        <f>RBBD!Q20</f>
        <v>0</v>
      </c>
      <c r="W35" s="1236">
        <f>RBBD!R20</f>
        <v>0</v>
      </c>
      <c r="X35" s="1236">
        <f>RBBD!S20</f>
        <v>0</v>
      </c>
      <c r="Y35" s="1236">
        <f>RBBD!T20</f>
        <v>0</v>
      </c>
      <c r="Z35" s="65"/>
      <c r="AA35" s="324">
        <f t="shared" si="4"/>
        <v>0</v>
      </c>
    </row>
    <row r="36" spans="2:27" hidden="1">
      <c r="B36" s="1236">
        <f>RBBD!B21</f>
        <v>0</v>
      </c>
      <c r="C36" s="1236">
        <f>RBBD!C21</f>
        <v>0</v>
      </c>
      <c r="D36" s="1236">
        <f>RBBD!D21</f>
        <v>0</v>
      </c>
      <c r="E36" s="1236">
        <f>RBBD!G21</f>
        <v>0</v>
      </c>
      <c r="F36" s="1236">
        <f>RBBD!H21</f>
        <v>0</v>
      </c>
      <c r="G36" s="1236">
        <f>RBBD!E21</f>
        <v>0</v>
      </c>
      <c r="H36" s="1236">
        <f>RBBD!F21</f>
        <v>0</v>
      </c>
      <c r="I36" s="1236">
        <f t="shared" si="2"/>
        <v>0</v>
      </c>
      <c r="J36" s="1236">
        <f t="shared" si="2"/>
        <v>0</v>
      </c>
      <c r="K36" s="1236">
        <f t="shared" si="2"/>
        <v>0</v>
      </c>
      <c r="L36" s="1236">
        <f t="shared" si="2"/>
        <v>0</v>
      </c>
      <c r="M36" s="1236">
        <f t="shared" si="3"/>
        <v>0</v>
      </c>
      <c r="N36" s="1236">
        <f>RBBD!I21</f>
        <v>0</v>
      </c>
      <c r="O36" s="1236">
        <f>RBBD!J21</f>
        <v>0</v>
      </c>
      <c r="P36" s="1236">
        <f>RBBD!K21</f>
        <v>0</v>
      </c>
      <c r="Q36" s="1236">
        <f>RBBD!L21</f>
        <v>0</v>
      </c>
      <c r="R36" s="1236">
        <f>RBBD!M21</f>
        <v>0</v>
      </c>
      <c r="S36" s="1236">
        <f>RBBD!N21</f>
        <v>0</v>
      </c>
      <c r="T36" s="1236">
        <f>RBBD!O21</f>
        <v>0</v>
      </c>
      <c r="U36" s="1236">
        <f>RBBD!P21</f>
        <v>0</v>
      </c>
      <c r="V36" s="1236">
        <f>RBBD!Q21</f>
        <v>0</v>
      </c>
      <c r="W36" s="1236">
        <f>RBBD!R21</f>
        <v>0</v>
      </c>
      <c r="X36" s="1236">
        <f>RBBD!S21</f>
        <v>0</v>
      </c>
      <c r="Y36" s="1236">
        <f>RBBD!T21</f>
        <v>0</v>
      </c>
      <c r="Z36" s="65"/>
      <c r="AA36" s="324">
        <f t="shared" si="4"/>
        <v>0</v>
      </c>
    </row>
    <row r="37" spans="2:27" hidden="1">
      <c r="B37" s="1236">
        <f>RBBD!B22</f>
        <v>0</v>
      </c>
      <c r="C37" s="1236">
        <f>RBBD!C22</f>
        <v>0</v>
      </c>
      <c r="D37" s="1236">
        <f>RBBD!D22</f>
        <v>0</v>
      </c>
      <c r="E37" s="1236">
        <f>RBBD!G22</f>
        <v>0</v>
      </c>
      <c r="F37" s="1236">
        <f>RBBD!H22</f>
        <v>0</v>
      </c>
      <c r="G37" s="1236">
        <f>RBBD!E22</f>
        <v>0</v>
      </c>
      <c r="H37" s="1236">
        <f>RBBD!F22</f>
        <v>0</v>
      </c>
      <c r="I37" s="1236">
        <f t="shared" si="2"/>
        <v>0</v>
      </c>
      <c r="J37" s="1236">
        <f t="shared" si="2"/>
        <v>0</v>
      </c>
      <c r="K37" s="1236">
        <f t="shared" si="2"/>
        <v>0</v>
      </c>
      <c r="L37" s="1236">
        <f t="shared" si="2"/>
        <v>0</v>
      </c>
      <c r="M37" s="1236">
        <f t="shared" si="3"/>
        <v>0</v>
      </c>
      <c r="N37" s="1236">
        <f>RBBD!I22</f>
        <v>0</v>
      </c>
      <c r="O37" s="1236">
        <f>RBBD!J22</f>
        <v>0</v>
      </c>
      <c r="P37" s="1236">
        <f>RBBD!K22</f>
        <v>0</v>
      </c>
      <c r="Q37" s="1236">
        <f>RBBD!L22</f>
        <v>0</v>
      </c>
      <c r="R37" s="1236">
        <f>RBBD!M22</f>
        <v>0</v>
      </c>
      <c r="S37" s="1236">
        <f>RBBD!N22</f>
        <v>0</v>
      </c>
      <c r="T37" s="1236">
        <f>RBBD!O22</f>
        <v>0</v>
      </c>
      <c r="U37" s="1236">
        <f>RBBD!P22</f>
        <v>0</v>
      </c>
      <c r="V37" s="1236">
        <f>RBBD!Q22</f>
        <v>0</v>
      </c>
      <c r="W37" s="1236">
        <f>RBBD!R22</f>
        <v>0</v>
      </c>
      <c r="X37" s="1236">
        <f>RBBD!S22</f>
        <v>0</v>
      </c>
      <c r="Y37" s="1236">
        <f>RBBD!T22</f>
        <v>0</v>
      </c>
      <c r="Z37" s="65"/>
      <c r="AA37" s="324">
        <f t="shared" si="4"/>
        <v>0</v>
      </c>
    </row>
    <row r="38" spans="2:27" hidden="1">
      <c r="B38" s="1236">
        <f>RBBD!B23</f>
        <v>0</v>
      </c>
      <c r="C38" s="1236">
        <f>RBBD!C23</f>
        <v>0</v>
      </c>
      <c r="D38" s="1236">
        <f>RBBD!D23</f>
        <v>0</v>
      </c>
      <c r="E38" s="1236">
        <f>RBBD!G23</f>
        <v>0</v>
      </c>
      <c r="F38" s="1236">
        <f>RBBD!H23</f>
        <v>0</v>
      </c>
      <c r="G38" s="1236">
        <f>RBBD!E23</f>
        <v>0</v>
      </c>
      <c r="H38" s="1236">
        <f>RBBD!F23</f>
        <v>0</v>
      </c>
      <c r="I38" s="1236">
        <f t="shared" si="2"/>
        <v>0</v>
      </c>
      <c r="J38" s="1236">
        <f t="shared" si="2"/>
        <v>0</v>
      </c>
      <c r="K38" s="1236">
        <f t="shared" si="2"/>
        <v>0</v>
      </c>
      <c r="L38" s="1236">
        <f t="shared" si="2"/>
        <v>0</v>
      </c>
      <c r="M38" s="1236">
        <f t="shared" si="3"/>
        <v>0</v>
      </c>
      <c r="N38" s="1236">
        <f>RBBD!I23</f>
        <v>0</v>
      </c>
      <c r="O38" s="1236">
        <f>RBBD!J23</f>
        <v>0</v>
      </c>
      <c r="P38" s="1236">
        <f>RBBD!K23</f>
        <v>0</v>
      </c>
      <c r="Q38" s="1236">
        <f>RBBD!L23</f>
        <v>0</v>
      </c>
      <c r="R38" s="1236">
        <f>RBBD!M23</f>
        <v>0</v>
      </c>
      <c r="S38" s="1236">
        <f>RBBD!N23</f>
        <v>0</v>
      </c>
      <c r="T38" s="1236">
        <f>RBBD!O23</f>
        <v>0</v>
      </c>
      <c r="U38" s="1236">
        <f>RBBD!P23</f>
        <v>0</v>
      </c>
      <c r="V38" s="1236">
        <f>RBBD!Q23</f>
        <v>0</v>
      </c>
      <c r="W38" s="1236">
        <f>RBBD!R23</f>
        <v>0</v>
      </c>
      <c r="X38" s="1236">
        <f>RBBD!S23</f>
        <v>0</v>
      </c>
      <c r="Y38" s="1236">
        <f>RBBD!T23</f>
        <v>0</v>
      </c>
      <c r="Z38" s="65"/>
      <c r="AA38" s="324">
        <f t="shared" si="4"/>
        <v>0</v>
      </c>
    </row>
    <row r="39" spans="2:27" hidden="1">
      <c r="B39" s="1236">
        <f>RBBD!B24</f>
        <v>0</v>
      </c>
      <c r="C39" s="1236">
        <f>RBBD!C24</f>
        <v>0</v>
      </c>
      <c r="D39" s="1236">
        <f>RBBD!D24</f>
        <v>0</v>
      </c>
      <c r="E39" s="1236">
        <f>RBBD!G24</f>
        <v>0</v>
      </c>
      <c r="F39" s="1236">
        <f>RBBD!H24</f>
        <v>0</v>
      </c>
      <c r="G39" s="1236">
        <f>RBBD!E24</f>
        <v>0</v>
      </c>
      <c r="H39" s="1236">
        <f>RBBD!F24</f>
        <v>0</v>
      </c>
      <c r="I39" s="1236">
        <f t="shared" si="2"/>
        <v>0</v>
      </c>
      <c r="J39" s="1236">
        <f t="shared" si="2"/>
        <v>0</v>
      </c>
      <c r="K39" s="1236">
        <f t="shared" si="2"/>
        <v>0</v>
      </c>
      <c r="L39" s="1236">
        <f t="shared" si="2"/>
        <v>0</v>
      </c>
      <c r="M39" s="1236">
        <f t="shared" si="3"/>
        <v>0</v>
      </c>
      <c r="N39" s="1236">
        <f>RBBD!I24</f>
        <v>0</v>
      </c>
      <c r="O39" s="1236">
        <f>RBBD!J24</f>
        <v>0</v>
      </c>
      <c r="P39" s="1236">
        <f>RBBD!K24</f>
        <v>0</v>
      </c>
      <c r="Q39" s="1236">
        <f>RBBD!L24</f>
        <v>0</v>
      </c>
      <c r="R39" s="1236">
        <f>RBBD!M24</f>
        <v>0</v>
      </c>
      <c r="S39" s="1236">
        <f>RBBD!N24</f>
        <v>0</v>
      </c>
      <c r="T39" s="1236">
        <f>RBBD!O24</f>
        <v>0</v>
      </c>
      <c r="U39" s="1236">
        <f>RBBD!P24</f>
        <v>0</v>
      </c>
      <c r="V39" s="1236">
        <f>RBBD!Q24</f>
        <v>0</v>
      </c>
      <c r="W39" s="1236">
        <f>RBBD!R24</f>
        <v>0</v>
      </c>
      <c r="X39" s="1236">
        <f>RBBD!S24</f>
        <v>0</v>
      </c>
      <c r="Y39" s="1236">
        <f>RBBD!T24</f>
        <v>0</v>
      </c>
      <c r="Z39" s="65"/>
      <c r="AA39" s="324">
        <f t="shared" ref="AA39:AA60" si="5">IF(B39=0,0,1)</f>
        <v>0</v>
      </c>
    </row>
    <row r="40" spans="2:27" hidden="1">
      <c r="B40" s="1236">
        <f>RBBD!B25</f>
        <v>0</v>
      </c>
      <c r="C40" s="1236">
        <f>RBBD!C25</f>
        <v>0</v>
      </c>
      <c r="D40" s="1236">
        <f>RBBD!D25</f>
        <v>0</v>
      </c>
      <c r="E40" s="1236">
        <f>RBBD!G25</f>
        <v>0</v>
      </c>
      <c r="F40" s="1236">
        <f>RBBD!H25</f>
        <v>0</v>
      </c>
      <c r="G40" s="1236">
        <f>RBBD!E25</f>
        <v>0</v>
      </c>
      <c r="H40" s="1236">
        <f>RBBD!F25</f>
        <v>0</v>
      </c>
      <c r="I40" s="1236">
        <f t="shared" si="2"/>
        <v>0</v>
      </c>
      <c r="J40" s="1236">
        <f t="shared" si="2"/>
        <v>0</v>
      </c>
      <c r="K40" s="1236">
        <f t="shared" si="2"/>
        <v>0</v>
      </c>
      <c r="L40" s="1236">
        <f t="shared" si="2"/>
        <v>0</v>
      </c>
      <c r="M40" s="1236">
        <f t="shared" si="3"/>
        <v>0</v>
      </c>
      <c r="N40" s="1236">
        <f>RBBD!I25</f>
        <v>0</v>
      </c>
      <c r="O40" s="1236">
        <f>RBBD!J25</f>
        <v>0</v>
      </c>
      <c r="P40" s="1236">
        <f>RBBD!K25</f>
        <v>0</v>
      </c>
      <c r="Q40" s="1236">
        <f>RBBD!L25</f>
        <v>0</v>
      </c>
      <c r="R40" s="1236">
        <f>RBBD!M25</f>
        <v>0</v>
      </c>
      <c r="S40" s="1236">
        <f>RBBD!N25</f>
        <v>0</v>
      </c>
      <c r="T40" s="1236">
        <f>RBBD!O25</f>
        <v>0</v>
      </c>
      <c r="U40" s="1236">
        <f>RBBD!P25</f>
        <v>0</v>
      </c>
      <c r="V40" s="1236">
        <f>RBBD!Q25</f>
        <v>0</v>
      </c>
      <c r="W40" s="1236">
        <f>RBBD!R25</f>
        <v>0</v>
      </c>
      <c r="X40" s="1236">
        <f>RBBD!S25</f>
        <v>0</v>
      </c>
      <c r="Y40" s="1236">
        <f>RBBD!T25</f>
        <v>0</v>
      </c>
      <c r="Z40" s="65"/>
      <c r="AA40" s="324">
        <f t="shared" si="5"/>
        <v>0</v>
      </c>
    </row>
    <row r="41" spans="2:27" hidden="1">
      <c r="B41" s="1236">
        <f>RBBD!B26</f>
        <v>0</v>
      </c>
      <c r="C41" s="1236">
        <f>RBBD!C26</f>
        <v>0</v>
      </c>
      <c r="D41" s="1236">
        <f>RBBD!D26</f>
        <v>0</v>
      </c>
      <c r="E41" s="1236">
        <f>RBBD!G26</f>
        <v>0</v>
      </c>
      <c r="F41" s="1236">
        <f>RBBD!H26</f>
        <v>0</v>
      </c>
      <c r="G41" s="1236">
        <f>RBBD!E26</f>
        <v>0</v>
      </c>
      <c r="H41" s="1236">
        <f>RBBD!F26</f>
        <v>0</v>
      </c>
      <c r="I41" s="1236">
        <f t="shared" si="2"/>
        <v>0</v>
      </c>
      <c r="J41" s="1236">
        <f t="shared" si="2"/>
        <v>0</v>
      </c>
      <c r="K41" s="1236">
        <f t="shared" si="2"/>
        <v>0</v>
      </c>
      <c r="L41" s="1236">
        <f t="shared" si="2"/>
        <v>0</v>
      </c>
      <c r="M41" s="1236">
        <f t="shared" si="3"/>
        <v>0</v>
      </c>
      <c r="N41" s="1236">
        <f>RBBD!I26</f>
        <v>0</v>
      </c>
      <c r="O41" s="1236">
        <f>RBBD!J26</f>
        <v>0</v>
      </c>
      <c r="P41" s="1236">
        <f>RBBD!K26</f>
        <v>0</v>
      </c>
      <c r="Q41" s="1236">
        <f>RBBD!L26</f>
        <v>0</v>
      </c>
      <c r="R41" s="1236">
        <f>RBBD!M26</f>
        <v>0</v>
      </c>
      <c r="S41" s="1236">
        <f>RBBD!N26</f>
        <v>0</v>
      </c>
      <c r="T41" s="1236">
        <f>RBBD!O26</f>
        <v>0</v>
      </c>
      <c r="U41" s="1236">
        <f>RBBD!P26</f>
        <v>0</v>
      </c>
      <c r="V41" s="1236">
        <f>RBBD!Q26</f>
        <v>0</v>
      </c>
      <c r="W41" s="1236">
        <f>RBBD!R26</f>
        <v>0</v>
      </c>
      <c r="X41" s="1236">
        <f>RBBD!S26</f>
        <v>0</v>
      </c>
      <c r="Y41" s="1236">
        <f>RBBD!T26</f>
        <v>0</v>
      </c>
      <c r="Z41" s="65"/>
      <c r="AA41" s="324">
        <f t="shared" si="5"/>
        <v>0</v>
      </c>
    </row>
    <row r="42" spans="2:27" hidden="1">
      <c r="B42" s="1236">
        <f>RBBD!B27</f>
        <v>0</v>
      </c>
      <c r="C42" s="1236">
        <f>RBBD!C27</f>
        <v>0</v>
      </c>
      <c r="D42" s="1236">
        <f>RBBD!D27</f>
        <v>0</v>
      </c>
      <c r="E42" s="1236">
        <f>RBBD!G27</f>
        <v>0</v>
      </c>
      <c r="F42" s="1236">
        <f>RBBD!H27</f>
        <v>0</v>
      </c>
      <c r="G42" s="1236">
        <f>RBBD!E27</f>
        <v>0</v>
      </c>
      <c r="H42" s="1236">
        <f>RBBD!F27</f>
        <v>0</v>
      </c>
      <c r="I42" s="1236">
        <f t="shared" si="2"/>
        <v>0</v>
      </c>
      <c r="J42" s="1236">
        <f t="shared" si="2"/>
        <v>0</v>
      </c>
      <c r="K42" s="1236">
        <f t="shared" si="2"/>
        <v>0</v>
      </c>
      <c r="L42" s="1236">
        <f t="shared" si="2"/>
        <v>0</v>
      </c>
      <c r="M42" s="1236">
        <f t="shared" si="3"/>
        <v>0</v>
      </c>
      <c r="N42" s="1236">
        <f>RBBD!I27</f>
        <v>0</v>
      </c>
      <c r="O42" s="1236">
        <f>RBBD!J27</f>
        <v>0</v>
      </c>
      <c r="P42" s="1236">
        <f>RBBD!K27</f>
        <v>0</v>
      </c>
      <c r="Q42" s="1236">
        <f>RBBD!L27</f>
        <v>0</v>
      </c>
      <c r="R42" s="1236">
        <f>RBBD!M27</f>
        <v>0</v>
      </c>
      <c r="S42" s="1236">
        <f>RBBD!N27</f>
        <v>0</v>
      </c>
      <c r="T42" s="1236">
        <f>RBBD!O27</f>
        <v>0</v>
      </c>
      <c r="U42" s="1236">
        <f>RBBD!P27</f>
        <v>0</v>
      </c>
      <c r="V42" s="1236">
        <f>RBBD!Q27</f>
        <v>0</v>
      </c>
      <c r="W42" s="1236">
        <f>RBBD!R27</f>
        <v>0</v>
      </c>
      <c r="X42" s="1236">
        <f>RBBD!S27</f>
        <v>0</v>
      </c>
      <c r="Y42" s="1236">
        <f>RBBD!T27</f>
        <v>0</v>
      </c>
      <c r="Z42" s="65"/>
      <c r="AA42" s="324">
        <f t="shared" si="5"/>
        <v>0</v>
      </c>
    </row>
    <row r="43" spans="2:27" hidden="1">
      <c r="B43" s="1236">
        <f>RBBD!B28</f>
        <v>0</v>
      </c>
      <c r="C43" s="1236">
        <f>RBBD!C28</f>
        <v>0</v>
      </c>
      <c r="D43" s="1236">
        <f>RBBD!D28</f>
        <v>0</v>
      </c>
      <c r="E43" s="1236">
        <f>RBBD!G28</f>
        <v>0</v>
      </c>
      <c r="F43" s="1236">
        <f>RBBD!H28</f>
        <v>0</v>
      </c>
      <c r="G43" s="1236">
        <f>RBBD!E28</f>
        <v>0</v>
      </c>
      <c r="H43" s="1236">
        <f>RBBD!F28</f>
        <v>0</v>
      </c>
      <c r="I43" s="1236">
        <f t="shared" si="2"/>
        <v>0</v>
      </c>
      <c r="J43" s="1236">
        <f t="shared" si="2"/>
        <v>0</v>
      </c>
      <c r="K43" s="1236">
        <f t="shared" si="2"/>
        <v>0</v>
      </c>
      <c r="L43" s="1236">
        <f t="shared" si="2"/>
        <v>0</v>
      </c>
      <c r="M43" s="1236">
        <f t="shared" si="3"/>
        <v>0</v>
      </c>
      <c r="N43" s="1236">
        <f>RBBD!I28</f>
        <v>0</v>
      </c>
      <c r="O43" s="1236">
        <f>RBBD!J28</f>
        <v>0</v>
      </c>
      <c r="P43" s="1236">
        <f>RBBD!K28</f>
        <v>0</v>
      </c>
      <c r="Q43" s="1236">
        <f>RBBD!L28</f>
        <v>0</v>
      </c>
      <c r="R43" s="1236">
        <f>RBBD!M28</f>
        <v>0</v>
      </c>
      <c r="S43" s="1236">
        <f>RBBD!N28</f>
        <v>0</v>
      </c>
      <c r="T43" s="1236">
        <f>RBBD!O28</f>
        <v>0</v>
      </c>
      <c r="U43" s="1236">
        <f>RBBD!P28</f>
        <v>0</v>
      </c>
      <c r="V43" s="1236">
        <f>RBBD!Q28</f>
        <v>0</v>
      </c>
      <c r="W43" s="1236">
        <f>RBBD!R28</f>
        <v>0</v>
      </c>
      <c r="X43" s="1236">
        <f>RBBD!S28</f>
        <v>0</v>
      </c>
      <c r="Y43" s="1236">
        <f>RBBD!T28</f>
        <v>0</v>
      </c>
      <c r="Z43" s="65"/>
      <c r="AA43" s="324">
        <f t="shared" si="5"/>
        <v>0</v>
      </c>
    </row>
    <row r="44" spans="2:27" hidden="1">
      <c r="B44" s="1236">
        <f>RBBD!B29</f>
        <v>0</v>
      </c>
      <c r="C44" s="1236">
        <f>RBBD!C29</f>
        <v>0</v>
      </c>
      <c r="D44" s="1236">
        <f>RBBD!D29</f>
        <v>0</v>
      </c>
      <c r="E44" s="1236">
        <f>RBBD!G29</f>
        <v>0</v>
      </c>
      <c r="F44" s="1236">
        <f>RBBD!H29</f>
        <v>0</v>
      </c>
      <c r="G44" s="1236">
        <f>RBBD!E29</f>
        <v>0</v>
      </c>
      <c r="H44" s="1236">
        <f>RBBD!F29</f>
        <v>0</v>
      </c>
      <c r="I44" s="1236">
        <f t="shared" si="2"/>
        <v>0</v>
      </c>
      <c r="J44" s="1236">
        <f t="shared" si="2"/>
        <v>0</v>
      </c>
      <c r="K44" s="1236">
        <f t="shared" si="2"/>
        <v>0</v>
      </c>
      <c r="L44" s="1236">
        <f t="shared" si="2"/>
        <v>0</v>
      </c>
      <c r="M44" s="1236">
        <f t="shared" si="3"/>
        <v>0</v>
      </c>
      <c r="N44" s="1236">
        <f>RBBD!I29</f>
        <v>0</v>
      </c>
      <c r="O44" s="1236">
        <f>RBBD!J29</f>
        <v>0</v>
      </c>
      <c r="P44" s="1236">
        <f>RBBD!K29</f>
        <v>0</v>
      </c>
      <c r="Q44" s="1236">
        <f>RBBD!L29</f>
        <v>0</v>
      </c>
      <c r="R44" s="1236">
        <f>RBBD!M29</f>
        <v>0</v>
      </c>
      <c r="S44" s="1236">
        <f>RBBD!N29</f>
        <v>0</v>
      </c>
      <c r="T44" s="1236">
        <f>RBBD!O29</f>
        <v>0</v>
      </c>
      <c r="U44" s="1236">
        <f>RBBD!P29</f>
        <v>0</v>
      </c>
      <c r="V44" s="1236">
        <f>RBBD!Q29</f>
        <v>0</v>
      </c>
      <c r="W44" s="1236">
        <f>RBBD!R29</f>
        <v>0</v>
      </c>
      <c r="X44" s="1236">
        <f>RBBD!S29</f>
        <v>0</v>
      </c>
      <c r="Y44" s="1236">
        <f>RBBD!T29</f>
        <v>0</v>
      </c>
      <c r="Z44" s="65"/>
      <c r="AA44" s="324">
        <f t="shared" si="5"/>
        <v>0</v>
      </c>
    </row>
    <row r="45" spans="2:27" hidden="1">
      <c r="B45" s="1236">
        <f>RBBD!B30</f>
        <v>0</v>
      </c>
      <c r="C45" s="1236">
        <f>RBBD!C30</f>
        <v>0</v>
      </c>
      <c r="D45" s="1236">
        <f>RBBD!D30</f>
        <v>0</v>
      </c>
      <c r="E45" s="1236">
        <f>RBBD!G30</f>
        <v>0</v>
      </c>
      <c r="F45" s="1236">
        <f>RBBD!H30</f>
        <v>0</v>
      </c>
      <c r="G45" s="1236">
        <f>RBBD!E30</f>
        <v>0</v>
      </c>
      <c r="H45" s="1236">
        <f>RBBD!F30</f>
        <v>0</v>
      </c>
      <c r="I45" s="1236">
        <f t="shared" si="2"/>
        <v>0</v>
      </c>
      <c r="J45" s="1236">
        <f t="shared" si="2"/>
        <v>0</v>
      </c>
      <c r="K45" s="1236">
        <f t="shared" si="2"/>
        <v>0</v>
      </c>
      <c r="L45" s="1236">
        <f t="shared" si="2"/>
        <v>0</v>
      </c>
      <c r="M45" s="1236">
        <f t="shared" si="3"/>
        <v>0</v>
      </c>
      <c r="N45" s="1236">
        <f>RBBD!I30</f>
        <v>0</v>
      </c>
      <c r="O45" s="1236">
        <f>RBBD!J30</f>
        <v>0</v>
      </c>
      <c r="P45" s="1236">
        <f>RBBD!K30</f>
        <v>0</v>
      </c>
      <c r="Q45" s="1236">
        <f>RBBD!L30</f>
        <v>0</v>
      </c>
      <c r="R45" s="1236">
        <f>RBBD!M30</f>
        <v>0</v>
      </c>
      <c r="S45" s="1236">
        <f>RBBD!N30</f>
        <v>0</v>
      </c>
      <c r="T45" s="1236">
        <f>RBBD!O30</f>
        <v>0</v>
      </c>
      <c r="U45" s="1236">
        <f>RBBD!P30</f>
        <v>0</v>
      </c>
      <c r="V45" s="1236">
        <f>RBBD!Q30</f>
        <v>0</v>
      </c>
      <c r="W45" s="1236">
        <f>RBBD!R30</f>
        <v>0</v>
      </c>
      <c r="X45" s="1236">
        <f>RBBD!S30</f>
        <v>0</v>
      </c>
      <c r="Y45" s="1236">
        <f>RBBD!T30</f>
        <v>0</v>
      </c>
      <c r="Z45" s="65"/>
      <c r="AA45" s="324">
        <f t="shared" si="5"/>
        <v>0</v>
      </c>
    </row>
    <row r="46" spans="2:27" hidden="1">
      <c r="B46" s="1236">
        <f>RBBD!B31</f>
        <v>0</v>
      </c>
      <c r="C46" s="1236">
        <f>RBBD!C31</f>
        <v>0</v>
      </c>
      <c r="D46" s="1236">
        <f>RBBD!D31</f>
        <v>0</v>
      </c>
      <c r="E46" s="1236">
        <f>RBBD!G31</f>
        <v>0</v>
      </c>
      <c r="F46" s="1236">
        <f>RBBD!H31</f>
        <v>0</v>
      </c>
      <c r="G46" s="1236">
        <f>RBBD!E31</f>
        <v>0</v>
      </c>
      <c r="H46" s="1236">
        <f>RBBD!F31</f>
        <v>0</v>
      </c>
      <c r="I46" s="1236">
        <f t="shared" si="2"/>
        <v>0</v>
      </c>
      <c r="J46" s="1236">
        <f t="shared" si="2"/>
        <v>0</v>
      </c>
      <c r="K46" s="1236">
        <f t="shared" si="2"/>
        <v>0</v>
      </c>
      <c r="L46" s="1236">
        <f t="shared" si="2"/>
        <v>0</v>
      </c>
      <c r="M46" s="1236">
        <f t="shared" si="3"/>
        <v>0</v>
      </c>
      <c r="N46" s="1236">
        <f>RBBD!I31</f>
        <v>0</v>
      </c>
      <c r="O46" s="1236">
        <f>RBBD!J31</f>
        <v>0</v>
      </c>
      <c r="P46" s="1236">
        <f>RBBD!K31</f>
        <v>0</v>
      </c>
      <c r="Q46" s="1236">
        <f>RBBD!L31</f>
        <v>0</v>
      </c>
      <c r="R46" s="1236">
        <f>RBBD!M31</f>
        <v>0</v>
      </c>
      <c r="S46" s="1236">
        <f>RBBD!N31</f>
        <v>0</v>
      </c>
      <c r="T46" s="1236">
        <f>RBBD!O31</f>
        <v>0</v>
      </c>
      <c r="U46" s="1236">
        <f>RBBD!P31</f>
        <v>0</v>
      </c>
      <c r="V46" s="1236">
        <f>RBBD!Q31</f>
        <v>0</v>
      </c>
      <c r="W46" s="1236">
        <f>RBBD!R31</f>
        <v>0</v>
      </c>
      <c r="X46" s="1236">
        <f>RBBD!S31</f>
        <v>0</v>
      </c>
      <c r="Y46" s="1236">
        <f>RBBD!T31</f>
        <v>0</v>
      </c>
      <c r="Z46" s="65"/>
      <c r="AA46" s="324">
        <f t="shared" si="5"/>
        <v>0</v>
      </c>
    </row>
    <row r="47" spans="2:27" hidden="1">
      <c r="B47" s="1236">
        <f>RBBD!B32</f>
        <v>0</v>
      </c>
      <c r="C47" s="1236">
        <f>RBBD!C32</f>
        <v>0</v>
      </c>
      <c r="D47" s="1236">
        <f>RBBD!D32</f>
        <v>0</v>
      </c>
      <c r="E47" s="1236">
        <f>RBBD!G32</f>
        <v>0</v>
      </c>
      <c r="F47" s="1236">
        <f>RBBD!H32</f>
        <v>0</v>
      </c>
      <c r="G47" s="1236">
        <f>RBBD!E32</f>
        <v>0</v>
      </c>
      <c r="H47" s="1236">
        <f>RBBD!F32</f>
        <v>0</v>
      </c>
      <c r="I47" s="1236">
        <f t="shared" si="2"/>
        <v>0</v>
      </c>
      <c r="J47" s="1236">
        <f t="shared" si="2"/>
        <v>0</v>
      </c>
      <c r="K47" s="1236">
        <f t="shared" si="2"/>
        <v>0</v>
      </c>
      <c r="L47" s="1236">
        <f t="shared" si="2"/>
        <v>0</v>
      </c>
      <c r="M47" s="1236">
        <f t="shared" si="3"/>
        <v>0</v>
      </c>
      <c r="N47" s="1236">
        <f>RBBD!I32</f>
        <v>0</v>
      </c>
      <c r="O47" s="1236">
        <f>RBBD!J32</f>
        <v>0</v>
      </c>
      <c r="P47" s="1236">
        <f>RBBD!K32</f>
        <v>0</v>
      </c>
      <c r="Q47" s="1236">
        <f>RBBD!L32</f>
        <v>0</v>
      </c>
      <c r="R47" s="1236">
        <f>RBBD!M32</f>
        <v>0</v>
      </c>
      <c r="S47" s="1236">
        <f>RBBD!N32</f>
        <v>0</v>
      </c>
      <c r="T47" s="1236">
        <f>RBBD!O32</f>
        <v>0</v>
      </c>
      <c r="U47" s="1236">
        <f>RBBD!P32</f>
        <v>0</v>
      </c>
      <c r="V47" s="1236">
        <f>RBBD!Q32</f>
        <v>0</v>
      </c>
      <c r="W47" s="1236">
        <f>RBBD!R32</f>
        <v>0</v>
      </c>
      <c r="X47" s="1236">
        <f>RBBD!S32</f>
        <v>0</v>
      </c>
      <c r="Y47" s="1236">
        <f>RBBD!T32</f>
        <v>0</v>
      </c>
      <c r="Z47" s="65"/>
      <c r="AA47" s="324">
        <f t="shared" si="5"/>
        <v>0</v>
      </c>
    </row>
    <row r="48" spans="2:27" hidden="1">
      <c r="B48" s="1236">
        <f>RBBD!B33</f>
        <v>0</v>
      </c>
      <c r="C48" s="1236">
        <f>RBBD!C33</f>
        <v>0</v>
      </c>
      <c r="D48" s="1236">
        <f>RBBD!D33</f>
        <v>0</v>
      </c>
      <c r="E48" s="1236">
        <f>RBBD!G33</f>
        <v>0</v>
      </c>
      <c r="F48" s="1236">
        <f>RBBD!H33</f>
        <v>0</v>
      </c>
      <c r="G48" s="1236">
        <f>RBBD!E33</f>
        <v>0</v>
      </c>
      <c r="H48" s="1236">
        <f>RBBD!F33</f>
        <v>0</v>
      </c>
      <c r="I48" s="1236">
        <f t="shared" si="2"/>
        <v>0</v>
      </c>
      <c r="J48" s="1236">
        <f t="shared" si="2"/>
        <v>0</v>
      </c>
      <c r="K48" s="1236">
        <f t="shared" si="2"/>
        <v>0</v>
      </c>
      <c r="L48" s="1236">
        <f t="shared" si="2"/>
        <v>0</v>
      </c>
      <c r="M48" s="1236">
        <f t="shared" si="3"/>
        <v>0</v>
      </c>
      <c r="N48" s="1236">
        <f>RBBD!I33</f>
        <v>0</v>
      </c>
      <c r="O48" s="1236">
        <f>RBBD!J33</f>
        <v>0</v>
      </c>
      <c r="P48" s="1236">
        <f>RBBD!K33</f>
        <v>0</v>
      </c>
      <c r="Q48" s="1236">
        <f>RBBD!L33</f>
        <v>0</v>
      </c>
      <c r="R48" s="1236">
        <f>RBBD!M33</f>
        <v>0</v>
      </c>
      <c r="S48" s="1236">
        <f>RBBD!N33</f>
        <v>0</v>
      </c>
      <c r="T48" s="1236">
        <f>RBBD!O33</f>
        <v>0</v>
      </c>
      <c r="U48" s="1236">
        <f>RBBD!P33</f>
        <v>0</v>
      </c>
      <c r="V48" s="1236">
        <f>RBBD!Q33</f>
        <v>0</v>
      </c>
      <c r="W48" s="1236">
        <f>RBBD!R33</f>
        <v>0</v>
      </c>
      <c r="X48" s="1236">
        <f>RBBD!S33</f>
        <v>0</v>
      </c>
      <c r="Y48" s="1236">
        <f>RBBD!T33</f>
        <v>0</v>
      </c>
      <c r="Z48" s="65"/>
      <c r="AA48" s="324">
        <f t="shared" si="5"/>
        <v>0</v>
      </c>
    </row>
    <row r="49" spans="2:27" hidden="1">
      <c r="B49" s="1236">
        <f>RBBD!B34</f>
        <v>0</v>
      </c>
      <c r="C49" s="1236">
        <f>RBBD!C34</f>
        <v>0</v>
      </c>
      <c r="D49" s="1236">
        <f>RBBD!D34</f>
        <v>0</v>
      </c>
      <c r="E49" s="1236">
        <f>RBBD!G34</f>
        <v>0</v>
      </c>
      <c r="F49" s="1236">
        <f>RBBD!H34</f>
        <v>0</v>
      </c>
      <c r="G49" s="1236">
        <f>RBBD!E34</f>
        <v>0</v>
      </c>
      <c r="H49" s="1236">
        <f>RBBD!F34</f>
        <v>0</v>
      </c>
      <c r="I49" s="1236">
        <f t="shared" si="2"/>
        <v>0</v>
      </c>
      <c r="J49" s="1236">
        <f t="shared" si="2"/>
        <v>0</v>
      </c>
      <c r="K49" s="1236">
        <f t="shared" si="2"/>
        <v>0</v>
      </c>
      <c r="L49" s="1236">
        <f t="shared" si="2"/>
        <v>0</v>
      </c>
      <c r="M49" s="1236">
        <f t="shared" si="3"/>
        <v>0</v>
      </c>
      <c r="N49" s="1236">
        <f>RBBD!I34</f>
        <v>0</v>
      </c>
      <c r="O49" s="1236">
        <f>RBBD!J34</f>
        <v>0</v>
      </c>
      <c r="P49" s="1236">
        <f>RBBD!K34</f>
        <v>0</v>
      </c>
      <c r="Q49" s="1236">
        <f>RBBD!L34</f>
        <v>0</v>
      </c>
      <c r="R49" s="1236">
        <f>RBBD!M34</f>
        <v>0</v>
      </c>
      <c r="S49" s="1236">
        <f>RBBD!N34</f>
        <v>0</v>
      </c>
      <c r="T49" s="1236">
        <f>RBBD!O34</f>
        <v>0</v>
      </c>
      <c r="U49" s="1236">
        <f>RBBD!P34</f>
        <v>0</v>
      </c>
      <c r="V49" s="1236">
        <f>RBBD!Q34</f>
        <v>0</v>
      </c>
      <c r="W49" s="1236">
        <f>RBBD!R34</f>
        <v>0</v>
      </c>
      <c r="X49" s="1236">
        <f>RBBD!S34</f>
        <v>0</v>
      </c>
      <c r="Y49" s="1236">
        <f>RBBD!T34</f>
        <v>0</v>
      </c>
      <c r="Z49" s="65"/>
      <c r="AA49" s="324">
        <f t="shared" si="5"/>
        <v>0</v>
      </c>
    </row>
    <row r="50" spans="2:27" hidden="1">
      <c r="B50" s="1236">
        <f>RBBD!B35</f>
        <v>0</v>
      </c>
      <c r="C50" s="1236">
        <f>RBBD!C35</f>
        <v>0</v>
      </c>
      <c r="D50" s="1236">
        <f>RBBD!D35</f>
        <v>0</v>
      </c>
      <c r="E50" s="1236">
        <f>RBBD!G35</f>
        <v>0</v>
      </c>
      <c r="F50" s="1236">
        <f>RBBD!H35</f>
        <v>0</v>
      </c>
      <c r="G50" s="1236">
        <f>RBBD!E35</f>
        <v>0</v>
      </c>
      <c r="H50" s="1236">
        <f>RBBD!F35</f>
        <v>0</v>
      </c>
      <c r="I50" s="1236">
        <f t="shared" si="2"/>
        <v>0</v>
      </c>
      <c r="J50" s="1236">
        <f t="shared" si="2"/>
        <v>0</v>
      </c>
      <c r="K50" s="1236">
        <f t="shared" si="2"/>
        <v>0</v>
      </c>
      <c r="L50" s="1236">
        <f t="shared" si="2"/>
        <v>0</v>
      </c>
      <c r="M50" s="1236">
        <f t="shared" si="3"/>
        <v>0</v>
      </c>
      <c r="N50" s="1236">
        <f>RBBD!I35</f>
        <v>0</v>
      </c>
      <c r="O50" s="1236">
        <f>RBBD!J35</f>
        <v>0</v>
      </c>
      <c r="P50" s="1236">
        <f>RBBD!K35</f>
        <v>0</v>
      </c>
      <c r="Q50" s="1236">
        <f>RBBD!L35</f>
        <v>0</v>
      </c>
      <c r="R50" s="1236">
        <f>RBBD!M35</f>
        <v>0</v>
      </c>
      <c r="S50" s="1236">
        <f>RBBD!N35</f>
        <v>0</v>
      </c>
      <c r="T50" s="1236">
        <f>RBBD!O35</f>
        <v>0</v>
      </c>
      <c r="U50" s="1236">
        <f>RBBD!P35</f>
        <v>0</v>
      </c>
      <c r="V50" s="1236">
        <f>RBBD!Q35</f>
        <v>0</v>
      </c>
      <c r="W50" s="1236">
        <f>RBBD!R35</f>
        <v>0</v>
      </c>
      <c r="X50" s="1236">
        <f>RBBD!S35</f>
        <v>0</v>
      </c>
      <c r="Y50" s="1236">
        <f>RBBD!T35</f>
        <v>0</v>
      </c>
      <c r="Z50" s="65"/>
      <c r="AA50" s="324">
        <f t="shared" si="5"/>
        <v>0</v>
      </c>
    </row>
    <row r="51" spans="2:27" hidden="1">
      <c r="B51" s="1236">
        <f>RBBD!B36</f>
        <v>0</v>
      </c>
      <c r="C51" s="1236">
        <f>RBBD!C36</f>
        <v>0</v>
      </c>
      <c r="D51" s="1236">
        <f>RBBD!D36</f>
        <v>0</v>
      </c>
      <c r="E51" s="1236">
        <f>RBBD!G36</f>
        <v>0</v>
      </c>
      <c r="F51" s="1236">
        <f>RBBD!H36</f>
        <v>0</v>
      </c>
      <c r="G51" s="1236">
        <f>RBBD!E36</f>
        <v>0</v>
      </c>
      <c r="H51" s="1236">
        <f>RBBD!F36</f>
        <v>0</v>
      </c>
      <c r="I51" s="1236">
        <f t="shared" si="2"/>
        <v>0</v>
      </c>
      <c r="J51" s="1236">
        <f t="shared" si="2"/>
        <v>0</v>
      </c>
      <c r="K51" s="1236">
        <f t="shared" si="2"/>
        <v>0</v>
      </c>
      <c r="L51" s="1236">
        <f t="shared" si="2"/>
        <v>0</v>
      </c>
      <c r="M51" s="1236">
        <f t="shared" si="3"/>
        <v>0</v>
      </c>
      <c r="N51" s="1236">
        <f>RBBD!I36</f>
        <v>0</v>
      </c>
      <c r="O51" s="1236">
        <f>RBBD!J36</f>
        <v>0</v>
      </c>
      <c r="P51" s="1236">
        <f>RBBD!K36</f>
        <v>0</v>
      </c>
      <c r="Q51" s="1236">
        <f>RBBD!L36</f>
        <v>0</v>
      </c>
      <c r="R51" s="1236">
        <f>RBBD!M36</f>
        <v>0</v>
      </c>
      <c r="S51" s="1236">
        <f>RBBD!N36</f>
        <v>0</v>
      </c>
      <c r="T51" s="1236">
        <f>RBBD!O36</f>
        <v>0</v>
      </c>
      <c r="U51" s="1236">
        <f>RBBD!P36</f>
        <v>0</v>
      </c>
      <c r="V51" s="1236">
        <f>RBBD!Q36</f>
        <v>0</v>
      </c>
      <c r="W51" s="1236">
        <f>RBBD!R36</f>
        <v>0</v>
      </c>
      <c r="X51" s="1236">
        <f>RBBD!S36</f>
        <v>0</v>
      </c>
      <c r="Y51" s="1236">
        <f>RBBD!T36</f>
        <v>0</v>
      </c>
      <c r="Z51" s="65"/>
      <c r="AA51" s="324">
        <f t="shared" si="5"/>
        <v>0</v>
      </c>
    </row>
    <row r="52" spans="2:27" hidden="1">
      <c r="B52" s="1236">
        <f>RBBD!B37</f>
        <v>0</v>
      </c>
      <c r="C52" s="1236">
        <f>RBBD!C37</f>
        <v>0</v>
      </c>
      <c r="D52" s="1236">
        <f>RBBD!D37</f>
        <v>0</v>
      </c>
      <c r="E52" s="1236">
        <f>RBBD!G37</f>
        <v>0</v>
      </c>
      <c r="F52" s="1236">
        <f>RBBD!H37</f>
        <v>0</v>
      </c>
      <c r="G52" s="1236">
        <f>RBBD!E37</f>
        <v>0</v>
      </c>
      <c r="H52" s="1236">
        <f>RBBD!F37</f>
        <v>0</v>
      </c>
      <c r="I52" s="1236">
        <f t="shared" si="2"/>
        <v>0</v>
      </c>
      <c r="J52" s="1236">
        <f t="shared" si="2"/>
        <v>0</v>
      </c>
      <c r="K52" s="1236">
        <f t="shared" si="2"/>
        <v>0</v>
      </c>
      <c r="L52" s="1236">
        <f t="shared" si="2"/>
        <v>0</v>
      </c>
      <c r="M52" s="1236">
        <f t="shared" si="3"/>
        <v>0</v>
      </c>
      <c r="N52" s="1236">
        <f>RBBD!I37</f>
        <v>0</v>
      </c>
      <c r="O52" s="1236">
        <f>RBBD!J37</f>
        <v>0</v>
      </c>
      <c r="P52" s="1236">
        <f>RBBD!K37</f>
        <v>0</v>
      </c>
      <c r="Q52" s="1236">
        <f>RBBD!L37</f>
        <v>0</v>
      </c>
      <c r="R52" s="1236">
        <f>RBBD!M37</f>
        <v>0</v>
      </c>
      <c r="S52" s="1236">
        <f>RBBD!N37</f>
        <v>0</v>
      </c>
      <c r="T52" s="1236">
        <f>RBBD!O37</f>
        <v>0</v>
      </c>
      <c r="U52" s="1236">
        <f>RBBD!P37</f>
        <v>0</v>
      </c>
      <c r="V52" s="1236">
        <f>RBBD!Q37</f>
        <v>0</v>
      </c>
      <c r="W52" s="1236">
        <f>RBBD!R37</f>
        <v>0</v>
      </c>
      <c r="X52" s="1236">
        <f>RBBD!S37</f>
        <v>0</v>
      </c>
      <c r="Y52" s="1236">
        <f>RBBD!T37</f>
        <v>0</v>
      </c>
      <c r="Z52" s="65"/>
      <c r="AA52" s="324">
        <f t="shared" si="5"/>
        <v>0</v>
      </c>
    </row>
    <row r="53" spans="2:27" hidden="1">
      <c r="B53" s="1236">
        <f>RBBD!B38</f>
        <v>0</v>
      </c>
      <c r="C53" s="1236">
        <f>RBBD!C38</f>
        <v>0</v>
      </c>
      <c r="D53" s="1236">
        <f>RBBD!D38</f>
        <v>0</v>
      </c>
      <c r="E53" s="1236">
        <f>RBBD!G38</f>
        <v>0</v>
      </c>
      <c r="F53" s="1236">
        <f>RBBD!H38</f>
        <v>0</v>
      </c>
      <c r="G53" s="1236">
        <f>RBBD!E38</f>
        <v>0</v>
      </c>
      <c r="H53" s="1236">
        <f>RBBD!F38</f>
        <v>0</v>
      </c>
      <c r="I53" s="1236">
        <f t="shared" si="2"/>
        <v>0</v>
      </c>
      <c r="J53" s="1236">
        <f t="shared" si="2"/>
        <v>0</v>
      </c>
      <c r="K53" s="1236">
        <f t="shared" si="2"/>
        <v>0</v>
      </c>
      <c r="L53" s="1236">
        <f t="shared" si="2"/>
        <v>0</v>
      </c>
      <c r="M53" s="1236">
        <f t="shared" si="3"/>
        <v>0</v>
      </c>
      <c r="N53" s="1236">
        <f>RBBD!I38</f>
        <v>0</v>
      </c>
      <c r="O53" s="1236">
        <f>RBBD!J38</f>
        <v>0</v>
      </c>
      <c r="P53" s="1236">
        <f>RBBD!K38</f>
        <v>0</v>
      </c>
      <c r="Q53" s="1236">
        <f>RBBD!L38</f>
        <v>0</v>
      </c>
      <c r="R53" s="1236">
        <f>RBBD!M38</f>
        <v>0</v>
      </c>
      <c r="S53" s="1236">
        <f>RBBD!N38</f>
        <v>0</v>
      </c>
      <c r="T53" s="1236">
        <f>RBBD!O38</f>
        <v>0</v>
      </c>
      <c r="U53" s="1236">
        <f>RBBD!P38</f>
        <v>0</v>
      </c>
      <c r="V53" s="1236">
        <f>RBBD!Q38</f>
        <v>0</v>
      </c>
      <c r="W53" s="1236">
        <f>RBBD!R38</f>
        <v>0</v>
      </c>
      <c r="X53" s="1236">
        <f>RBBD!S38</f>
        <v>0</v>
      </c>
      <c r="Y53" s="1236">
        <f>RBBD!T38</f>
        <v>0</v>
      </c>
      <c r="Z53" s="65"/>
      <c r="AA53" s="324">
        <f t="shared" si="5"/>
        <v>0</v>
      </c>
    </row>
    <row r="54" spans="2:27" hidden="1">
      <c r="B54" s="1236">
        <f>RBBD!B39</f>
        <v>0</v>
      </c>
      <c r="C54" s="1236">
        <f>RBBD!C39</f>
        <v>0</v>
      </c>
      <c r="D54" s="1236">
        <f>RBBD!D39</f>
        <v>0</v>
      </c>
      <c r="E54" s="1236">
        <f>RBBD!G39</f>
        <v>0</v>
      </c>
      <c r="F54" s="1236">
        <f>RBBD!H39</f>
        <v>0</v>
      </c>
      <c r="G54" s="1236">
        <f>RBBD!E39</f>
        <v>0</v>
      </c>
      <c r="H54" s="1236">
        <f>RBBD!F39</f>
        <v>0</v>
      </c>
      <c r="I54" s="1236">
        <f t="shared" si="2"/>
        <v>0</v>
      </c>
      <c r="J54" s="1236">
        <f t="shared" si="2"/>
        <v>0</v>
      </c>
      <c r="K54" s="1236">
        <f t="shared" si="2"/>
        <v>0</v>
      </c>
      <c r="L54" s="1236">
        <f t="shared" si="2"/>
        <v>0</v>
      </c>
      <c r="M54" s="1236">
        <f t="shared" si="3"/>
        <v>0</v>
      </c>
      <c r="N54" s="1236">
        <f>RBBD!I39</f>
        <v>0</v>
      </c>
      <c r="O54" s="1236">
        <f>RBBD!J39</f>
        <v>0</v>
      </c>
      <c r="P54" s="1236">
        <f>RBBD!K39</f>
        <v>0</v>
      </c>
      <c r="Q54" s="1236">
        <f>RBBD!L39</f>
        <v>0</v>
      </c>
      <c r="R54" s="1236">
        <f>RBBD!M39</f>
        <v>0</v>
      </c>
      <c r="S54" s="1236">
        <f>RBBD!N39</f>
        <v>0</v>
      </c>
      <c r="T54" s="1236">
        <f>RBBD!O39</f>
        <v>0</v>
      </c>
      <c r="U54" s="1236">
        <f>RBBD!P39</f>
        <v>0</v>
      </c>
      <c r="V54" s="1236">
        <f>RBBD!Q39</f>
        <v>0</v>
      </c>
      <c r="W54" s="1236">
        <f>RBBD!R39</f>
        <v>0</v>
      </c>
      <c r="X54" s="1236">
        <f>RBBD!S39</f>
        <v>0</v>
      </c>
      <c r="Y54" s="1236">
        <f>RBBD!T39</f>
        <v>0</v>
      </c>
      <c r="Z54" s="65"/>
      <c r="AA54" s="324">
        <f t="shared" si="5"/>
        <v>0</v>
      </c>
    </row>
    <row r="55" spans="2:27" hidden="1">
      <c r="B55" s="1236">
        <f>RBBD!B40</f>
        <v>0</v>
      </c>
      <c r="C55" s="1236">
        <f>RBBD!C40</f>
        <v>0</v>
      </c>
      <c r="D55" s="1236">
        <f>RBBD!D40</f>
        <v>0</v>
      </c>
      <c r="E55" s="1236">
        <f>RBBD!G40</f>
        <v>0</v>
      </c>
      <c r="F55" s="1236">
        <f>RBBD!H40</f>
        <v>0</v>
      </c>
      <c r="G55" s="1236">
        <f>RBBD!E40</f>
        <v>0</v>
      </c>
      <c r="H55" s="1236">
        <f>RBBD!F40</f>
        <v>0</v>
      </c>
      <c r="I55" s="1236">
        <f t="shared" si="2"/>
        <v>0</v>
      </c>
      <c r="J55" s="1236">
        <f t="shared" si="2"/>
        <v>0</v>
      </c>
      <c r="K55" s="1236">
        <f t="shared" si="2"/>
        <v>0</v>
      </c>
      <c r="L55" s="1236">
        <f t="shared" si="2"/>
        <v>0</v>
      </c>
      <c r="M55" s="1236">
        <f t="shared" si="3"/>
        <v>0</v>
      </c>
      <c r="N55" s="1236">
        <f>RBBD!I40</f>
        <v>0</v>
      </c>
      <c r="O55" s="1236">
        <f>RBBD!J40</f>
        <v>0</v>
      </c>
      <c r="P55" s="1236">
        <f>RBBD!K40</f>
        <v>0</v>
      </c>
      <c r="Q55" s="1236">
        <f>RBBD!L40</f>
        <v>0</v>
      </c>
      <c r="R55" s="1236">
        <f>RBBD!M40</f>
        <v>0</v>
      </c>
      <c r="S55" s="1236">
        <f>RBBD!N40</f>
        <v>0</v>
      </c>
      <c r="T55" s="1236">
        <f>RBBD!O40</f>
        <v>0</v>
      </c>
      <c r="U55" s="1236">
        <f>RBBD!P40</f>
        <v>0</v>
      </c>
      <c r="V55" s="1236">
        <f>RBBD!Q40</f>
        <v>0</v>
      </c>
      <c r="W55" s="1236">
        <f>RBBD!R40</f>
        <v>0</v>
      </c>
      <c r="X55" s="1236">
        <f>RBBD!S40</f>
        <v>0</v>
      </c>
      <c r="Y55" s="1236">
        <f>RBBD!T40</f>
        <v>0</v>
      </c>
      <c r="Z55" s="65"/>
      <c r="AA55" s="324">
        <f t="shared" si="5"/>
        <v>0</v>
      </c>
    </row>
    <row r="56" spans="2:27" hidden="1">
      <c r="B56" s="1236">
        <f>RBBD!B41</f>
        <v>0</v>
      </c>
      <c r="C56" s="1236">
        <f>RBBD!C41</f>
        <v>0</v>
      </c>
      <c r="D56" s="1236">
        <f>RBBD!D41</f>
        <v>0</v>
      </c>
      <c r="E56" s="1236">
        <f>RBBD!G41</f>
        <v>0</v>
      </c>
      <c r="F56" s="1236">
        <f>RBBD!H41</f>
        <v>0</v>
      </c>
      <c r="G56" s="1236">
        <f>RBBD!E41</f>
        <v>0</v>
      </c>
      <c r="H56" s="1236">
        <f>RBBD!F41</f>
        <v>0</v>
      </c>
      <c r="I56" s="1236">
        <f t="shared" si="2"/>
        <v>0</v>
      </c>
      <c r="J56" s="1236">
        <f t="shared" si="2"/>
        <v>0</v>
      </c>
      <c r="K56" s="1236">
        <f t="shared" si="2"/>
        <v>0</v>
      </c>
      <c r="L56" s="1236">
        <f t="shared" si="2"/>
        <v>0</v>
      </c>
      <c r="M56" s="1236">
        <f t="shared" si="3"/>
        <v>0</v>
      </c>
      <c r="N56" s="1236">
        <f>RBBD!I41</f>
        <v>0</v>
      </c>
      <c r="O56" s="1236">
        <f>RBBD!J41</f>
        <v>0</v>
      </c>
      <c r="P56" s="1236">
        <f>RBBD!K41</f>
        <v>0</v>
      </c>
      <c r="Q56" s="1236">
        <f>RBBD!L41</f>
        <v>0</v>
      </c>
      <c r="R56" s="1236">
        <f>RBBD!M41</f>
        <v>0</v>
      </c>
      <c r="S56" s="1236">
        <f>RBBD!N41</f>
        <v>0</v>
      </c>
      <c r="T56" s="1236">
        <f>RBBD!O41</f>
        <v>0</v>
      </c>
      <c r="U56" s="1236">
        <f>RBBD!P41</f>
        <v>0</v>
      </c>
      <c r="V56" s="1236">
        <f>RBBD!Q41</f>
        <v>0</v>
      </c>
      <c r="W56" s="1236">
        <f>RBBD!R41</f>
        <v>0</v>
      </c>
      <c r="X56" s="1236">
        <f>RBBD!S41</f>
        <v>0</v>
      </c>
      <c r="Y56" s="1236">
        <f>RBBD!T41</f>
        <v>0</v>
      </c>
      <c r="Z56" s="65"/>
      <c r="AA56" s="324">
        <f t="shared" si="5"/>
        <v>0</v>
      </c>
    </row>
    <row r="57" spans="2:27" hidden="1">
      <c r="B57" s="1236">
        <f>RBBD!B42</f>
        <v>0</v>
      </c>
      <c r="C57" s="1236">
        <f>RBBD!C42</f>
        <v>0</v>
      </c>
      <c r="D57" s="1236">
        <f>RBBD!D42</f>
        <v>0</v>
      </c>
      <c r="E57" s="1236">
        <f>RBBD!G42</f>
        <v>0</v>
      </c>
      <c r="F57" s="1236">
        <f>RBBD!H42</f>
        <v>0</v>
      </c>
      <c r="G57" s="1236">
        <f>RBBD!E42</f>
        <v>0</v>
      </c>
      <c r="H57" s="1236">
        <f>RBBD!F42</f>
        <v>0</v>
      </c>
      <c r="I57" s="1236">
        <f t="shared" si="2"/>
        <v>0</v>
      </c>
      <c r="J57" s="1236">
        <f t="shared" si="2"/>
        <v>0</v>
      </c>
      <c r="K57" s="1236">
        <f t="shared" si="2"/>
        <v>0</v>
      </c>
      <c r="L57" s="1236">
        <f t="shared" si="2"/>
        <v>0</v>
      </c>
      <c r="M57" s="1236">
        <f t="shared" si="3"/>
        <v>0</v>
      </c>
      <c r="N57" s="1236">
        <f>RBBD!I42</f>
        <v>0</v>
      </c>
      <c r="O57" s="1236">
        <f>RBBD!J42</f>
        <v>0</v>
      </c>
      <c r="P57" s="1236">
        <f>RBBD!K42</f>
        <v>0</v>
      </c>
      <c r="Q57" s="1236">
        <f>RBBD!L42</f>
        <v>0</v>
      </c>
      <c r="R57" s="1236">
        <f>RBBD!M42</f>
        <v>0</v>
      </c>
      <c r="S57" s="1236">
        <f>RBBD!N42</f>
        <v>0</v>
      </c>
      <c r="T57" s="1236">
        <f>RBBD!O42</f>
        <v>0</v>
      </c>
      <c r="U57" s="1236">
        <f>RBBD!P42</f>
        <v>0</v>
      </c>
      <c r="V57" s="1236">
        <f>RBBD!Q42</f>
        <v>0</v>
      </c>
      <c r="W57" s="1236">
        <f>RBBD!R42</f>
        <v>0</v>
      </c>
      <c r="X57" s="1236">
        <f>RBBD!S42</f>
        <v>0</v>
      </c>
      <c r="Y57" s="1236">
        <f>RBBD!T42</f>
        <v>0</v>
      </c>
      <c r="Z57" s="65"/>
      <c r="AA57" s="324">
        <f t="shared" si="5"/>
        <v>0</v>
      </c>
    </row>
    <row r="58" spans="2:27" hidden="1">
      <c r="B58" s="1236">
        <f>RBBD!B43</f>
        <v>0</v>
      </c>
      <c r="C58" s="1236">
        <f>RBBD!C43</f>
        <v>0</v>
      </c>
      <c r="D58" s="1236">
        <f>RBBD!D43</f>
        <v>0</v>
      </c>
      <c r="E58" s="1236">
        <f>RBBD!G43</f>
        <v>0</v>
      </c>
      <c r="F58" s="1236">
        <f>RBBD!H43</f>
        <v>0</v>
      </c>
      <c r="G58" s="1236">
        <f>RBBD!E43</f>
        <v>0</v>
      </c>
      <c r="H58" s="1236">
        <f>RBBD!F43</f>
        <v>0</v>
      </c>
      <c r="I58" s="1236">
        <f t="shared" si="2"/>
        <v>0</v>
      </c>
      <c r="J58" s="1236">
        <f t="shared" si="2"/>
        <v>0</v>
      </c>
      <c r="K58" s="1236">
        <f t="shared" si="2"/>
        <v>0</v>
      </c>
      <c r="L58" s="1236">
        <f t="shared" si="2"/>
        <v>0</v>
      </c>
      <c r="M58" s="1236">
        <f t="shared" si="3"/>
        <v>0</v>
      </c>
      <c r="N58" s="1236">
        <f>RBBD!I43</f>
        <v>0</v>
      </c>
      <c r="O58" s="1236">
        <f>RBBD!J43</f>
        <v>0</v>
      </c>
      <c r="P58" s="1236">
        <f>RBBD!K43</f>
        <v>0</v>
      </c>
      <c r="Q58" s="1236">
        <f>RBBD!L43</f>
        <v>0</v>
      </c>
      <c r="R58" s="1236">
        <f>RBBD!M43</f>
        <v>0</v>
      </c>
      <c r="S58" s="1236">
        <f>RBBD!N43</f>
        <v>0</v>
      </c>
      <c r="T58" s="1236">
        <f>RBBD!O43</f>
        <v>0</v>
      </c>
      <c r="U58" s="1236">
        <f>RBBD!P43</f>
        <v>0</v>
      </c>
      <c r="V58" s="1236">
        <f>RBBD!Q43</f>
        <v>0</v>
      </c>
      <c r="W58" s="1236">
        <f>RBBD!R43</f>
        <v>0</v>
      </c>
      <c r="X58" s="1236">
        <f>RBBD!S43</f>
        <v>0</v>
      </c>
      <c r="Y58" s="1236">
        <f>RBBD!T43</f>
        <v>0</v>
      </c>
      <c r="Z58" s="65"/>
      <c r="AA58" s="324">
        <f t="shared" si="5"/>
        <v>0</v>
      </c>
    </row>
    <row r="59" spans="2:27" hidden="1">
      <c r="B59" s="1236">
        <f>RBBD!B44</f>
        <v>0</v>
      </c>
      <c r="C59" s="1236">
        <f>RBBD!C44</f>
        <v>0</v>
      </c>
      <c r="D59" s="1236">
        <f>RBBD!D44</f>
        <v>0</v>
      </c>
      <c r="E59" s="1236">
        <f>RBBD!G44</f>
        <v>0</v>
      </c>
      <c r="F59" s="1236">
        <f>RBBD!H44</f>
        <v>0</v>
      </c>
      <c r="G59" s="1236">
        <f>RBBD!E44</f>
        <v>0</v>
      </c>
      <c r="H59" s="1236">
        <f>RBBD!F44</f>
        <v>0</v>
      </c>
      <c r="I59" s="1236">
        <f t="shared" si="2"/>
        <v>0</v>
      </c>
      <c r="J59" s="1236">
        <f t="shared" si="2"/>
        <v>0</v>
      </c>
      <c r="K59" s="1236">
        <f t="shared" si="2"/>
        <v>0</v>
      </c>
      <c r="L59" s="1236">
        <f t="shared" si="2"/>
        <v>0</v>
      </c>
      <c r="M59" s="1236">
        <f t="shared" si="3"/>
        <v>0</v>
      </c>
      <c r="N59" s="1236">
        <f>RBBD!I44</f>
        <v>0</v>
      </c>
      <c r="O59" s="1236">
        <f>RBBD!J44</f>
        <v>0</v>
      </c>
      <c r="P59" s="1236">
        <f>RBBD!K44</f>
        <v>0</v>
      </c>
      <c r="Q59" s="1236">
        <f>RBBD!L44</f>
        <v>0</v>
      </c>
      <c r="R59" s="1236">
        <f>RBBD!M44</f>
        <v>0</v>
      </c>
      <c r="S59" s="1236">
        <f>RBBD!N44</f>
        <v>0</v>
      </c>
      <c r="T59" s="1236">
        <f>RBBD!O44</f>
        <v>0</v>
      </c>
      <c r="U59" s="1236">
        <f>RBBD!P44</f>
        <v>0</v>
      </c>
      <c r="V59" s="1236">
        <f>RBBD!Q44</f>
        <v>0</v>
      </c>
      <c r="W59" s="1236">
        <f>RBBD!R44</f>
        <v>0</v>
      </c>
      <c r="X59" s="1236">
        <f>RBBD!S44</f>
        <v>0</v>
      </c>
      <c r="Y59" s="1236">
        <f>RBBD!T44</f>
        <v>0</v>
      </c>
      <c r="Z59" s="65"/>
      <c r="AA59" s="324">
        <f t="shared" si="5"/>
        <v>0</v>
      </c>
    </row>
    <row r="60" spans="2:27" hidden="1">
      <c r="B60" s="1236">
        <f>RBBD!B45</f>
        <v>0</v>
      </c>
      <c r="C60" s="1236">
        <f>RBBD!C45</f>
        <v>0</v>
      </c>
      <c r="D60" s="1236">
        <f>RBBD!D45</f>
        <v>0</v>
      </c>
      <c r="E60" s="1236">
        <f>RBBD!G45</f>
        <v>0</v>
      </c>
      <c r="F60" s="1236">
        <f>RBBD!H45</f>
        <v>0</v>
      </c>
      <c r="G60" s="1236">
        <f>RBBD!E45</f>
        <v>0</v>
      </c>
      <c r="H60" s="1236">
        <f>RBBD!F45</f>
        <v>0</v>
      </c>
      <c r="I60" s="1236">
        <f t="shared" si="2"/>
        <v>0</v>
      </c>
      <c r="J60" s="1236">
        <f t="shared" si="2"/>
        <v>0</v>
      </c>
      <c r="K60" s="1236">
        <f t="shared" si="2"/>
        <v>0</v>
      </c>
      <c r="L60" s="1236">
        <f t="shared" si="2"/>
        <v>0</v>
      </c>
      <c r="M60" s="1236">
        <f t="shared" si="3"/>
        <v>0</v>
      </c>
      <c r="N60" s="1236">
        <f>RBBD!I45</f>
        <v>0</v>
      </c>
      <c r="O60" s="1236">
        <f>RBBD!J45</f>
        <v>0</v>
      </c>
      <c r="P60" s="1236">
        <f>RBBD!K45</f>
        <v>0</v>
      </c>
      <c r="Q60" s="1236">
        <f>RBBD!L45</f>
        <v>0</v>
      </c>
      <c r="R60" s="1236">
        <f>RBBD!M45</f>
        <v>0</v>
      </c>
      <c r="S60" s="1236">
        <f>RBBD!N45</f>
        <v>0</v>
      </c>
      <c r="T60" s="1236">
        <f>RBBD!O45</f>
        <v>0</v>
      </c>
      <c r="U60" s="1236">
        <f>RBBD!P45</f>
        <v>0</v>
      </c>
      <c r="V60" s="1236">
        <f>RBBD!Q45</f>
        <v>0</v>
      </c>
      <c r="W60" s="1236">
        <f>RBBD!R45</f>
        <v>0</v>
      </c>
      <c r="X60" s="1236">
        <f>RBBD!S45</f>
        <v>0</v>
      </c>
      <c r="Y60" s="1236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7" t="s">
        <v>1165</v>
      </c>
      <c r="D62" s="1238"/>
      <c r="E62" s="1238" t="e">
        <f>SUM(I18:I61)/SUM(M18:M61)</f>
        <v>#DIV/0!</v>
      </c>
      <c r="F62" s="1238" t="e">
        <f>SUM(J18:J61)/SUM(M18:M61)</f>
        <v>#DIV/0!</v>
      </c>
      <c r="G62" s="1238" t="e">
        <f>SUM(K18:K61)/SUM(M18:M61)</f>
        <v>#DIV/0!</v>
      </c>
      <c r="H62" s="1238" t="e">
        <f>SUM(L18:L61)/SUM(M18:M61)</f>
        <v>#DIV/0!</v>
      </c>
      <c r="I62" s="1239">
        <f>SUM(I16:I61)</f>
        <v>0</v>
      </c>
      <c r="J62" s="1239">
        <f>SUM(J16:J61)</f>
        <v>0</v>
      </c>
      <c r="K62" s="1239">
        <f>SUM(K16:K61)</f>
        <v>0</v>
      </c>
      <c r="L62" s="1239">
        <f>SUM(L16:L61)</f>
        <v>0</v>
      </c>
      <c r="M62" s="1239">
        <f>SUM(M17:M61)</f>
        <v>0</v>
      </c>
      <c r="N62" s="1239">
        <f>SUM(N18:N61)</f>
        <v>0</v>
      </c>
      <c r="O62" s="1239">
        <f t="shared" ref="O62:Y62" si="6">SUM(O18:O61)</f>
        <v>0</v>
      </c>
      <c r="P62" s="1239">
        <f t="shared" si="6"/>
        <v>0</v>
      </c>
      <c r="Q62" s="1239">
        <f t="shared" si="6"/>
        <v>0</v>
      </c>
      <c r="R62" s="1239">
        <f t="shared" si="6"/>
        <v>0</v>
      </c>
      <c r="S62" s="1239">
        <f t="shared" si="6"/>
        <v>0</v>
      </c>
      <c r="T62" s="1239">
        <f t="shared" si="6"/>
        <v>0</v>
      </c>
      <c r="U62" s="1239">
        <f t="shared" si="6"/>
        <v>0</v>
      </c>
      <c r="V62" s="1239">
        <f t="shared" si="6"/>
        <v>0</v>
      </c>
      <c r="W62" s="1239">
        <f t="shared" si="6"/>
        <v>0</v>
      </c>
      <c r="X62" s="1239">
        <f t="shared" si="6"/>
        <v>0</v>
      </c>
      <c r="Y62" s="1239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29" t="s">
        <v>1166</v>
      </c>
      <c r="C67" s="1229"/>
      <c r="D67" s="1229"/>
      <c r="E67" s="1229"/>
      <c r="F67" s="1229"/>
      <c r="G67" s="1229"/>
      <c r="H67" s="1229"/>
      <c r="I67" s="1229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0">
        <f>IF(MONTH(E70)=7,E70,0)</f>
        <v>0</v>
      </c>
      <c r="F69" s="1240">
        <f t="shared" ref="F69:P69" si="7">IF(MONTH(F70)=7,F70,0)</f>
        <v>0</v>
      </c>
      <c r="G69" s="1240">
        <f t="shared" si="7"/>
        <v>0</v>
      </c>
      <c r="H69" s="1240">
        <f t="shared" si="7"/>
        <v>0</v>
      </c>
      <c r="I69" s="1240">
        <f t="shared" si="7"/>
        <v>0</v>
      </c>
      <c r="J69" s="1240">
        <f t="shared" si="7"/>
        <v>0</v>
      </c>
      <c r="K69" s="1240">
        <f t="shared" si="7"/>
        <v>0</v>
      </c>
      <c r="L69" s="1240">
        <f t="shared" si="7"/>
        <v>0</v>
      </c>
      <c r="M69" s="1240">
        <f t="shared" si="7"/>
        <v>0</v>
      </c>
      <c r="N69" s="1240">
        <f t="shared" si="7"/>
        <v>0</v>
      </c>
      <c r="O69" s="1240">
        <f t="shared" si="7"/>
        <v>44743</v>
      </c>
      <c r="P69" s="1240">
        <f t="shared" si="7"/>
        <v>0</v>
      </c>
      <c r="Q69" s="769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1">
        <f>G76</f>
        <v>44440</v>
      </c>
      <c r="F70" s="1241">
        <f>G77</f>
        <v>44470</v>
      </c>
      <c r="G70" s="1241">
        <f>G78</f>
        <v>44501</v>
      </c>
      <c r="H70" s="1241">
        <f>G79</f>
        <v>44531</v>
      </c>
      <c r="I70" s="1241">
        <f>G80</f>
        <v>44562</v>
      </c>
      <c r="J70" s="1241">
        <f>G81</f>
        <v>44593</v>
      </c>
      <c r="K70" s="1241">
        <f>G82</f>
        <v>44621</v>
      </c>
      <c r="L70" s="1241">
        <f>G83</f>
        <v>44652</v>
      </c>
      <c r="M70" s="1241">
        <f>G84</f>
        <v>44682</v>
      </c>
      <c r="N70" s="1241">
        <f>G85</f>
        <v>44713</v>
      </c>
      <c r="O70" s="1241">
        <f>G86</f>
        <v>44743</v>
      </c>
      <c r="P70" s="1241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2" t="s">
        <v>1168</v>
      </c>
      <c r="D71" s="1243">
        <f>SUM(E71:P71)</f>
        <v>0</v>
      </c>
      <c r="E71" s="1244">
        <f>SUMIF($G$76:$G$420,E70,$N$76:$N$420)</f>
        <v>0</v>
      </c>
      <c r="F71" s="1244">
        <f t="shared" ref="F71:P71" si="8">SUMIF($G$76:$G$420,F70,$N$76:$N$420)</f>
        <v>0</v>
      </c>
      <c r="G71" s="1244">
        <f t="shared" si="8"/>
        <v>0</v>
      </c>
      <c r="H71" s="1244">
        <f t="shared" si="8"/>
        <v>0</v>
      </c>
      <c r="I71" s="1244">
        <f t="shared" si="8"/>
        <v>0</v>
      </c>
      <c r="J71" s="1244">
        <f t="shared" si="8"/>
        <v>0</v>
      </c>
      <c r="K71" s="1244">
        <f t="shared" si="8"/>
        <v>0</v>
      </c>
      <c r="L71" s="1244">
        <f t="shared" si="8"/>
        <v>0</v>
      </c>
      <c r="M71" s="1244">
        <f t="shared" si="8"/>
        <v>0</v>
      </c>
      <c r="N71" s="1244">
        <f t="shared" si="8"/>
        <v>0</v>
      </c>
      <c r="O71" s="1244">
        <f t="shared" si="8"/>
        <v>0</v>
      </c>
      <c r="P71" s="1244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2" t="s">
        <v>1169</v>
      </c>
      <c r="D72" s="1243">
        <f>SUM(E72:P72)</f>
        <v>0</v>
      </c>
      <c r="E72" s="1244">
        <f>SUMIF(Indexador!$B$25:$B$48,'Rede Básica + Ajuste'!E70,Indexador!$J$25:$J$48)</f>
        <v>0</v>
      </c>
      <c r="F72" s="1244">
        <f>SUMIF(Indexador!$B$25:$B$48,'Rede Básica + Ajuste'!F70,Indexador!$J$25:$J$48)</f>
        <v>0</v>
      </c>
      <c r="G72" s="1244">
        <f>SUMIF(Indexador!$B$25:$B$48,'Rede Básica + Ajuste'!G70,Indexador!$J$25:$J$48)</f>
        <v>0</v>
      </c>
      <c r="H72" s="1244">
        <f>SUMIF(Indexador!$B$25:$B$48,'Rede Básica + Ajuste'!H70,Indexador!$J$25:$J$48)</f>
        <v>0</v>
      </c>
      <c r="I72" s="1244">
        <f>SUMIF(Indexador!$B$25:$B$48,'Rede Básica + Ajuste'!I70,Indexador!$J$25:$J$48)</f>
        <v>0</v>
      </c>
      <c r="J72" s="1244">
        <f>SUMIF(Indexador!$B$25:$B$48,'Rede Básica + Ajuste'!J70,Indexador!$J$25:$J$48)</f>
        <v>0</v>
      </c>
      <c r="K72" s="1244">
        <f>SUMIF(Indexador!$B$25:$B$48,'Rede Básica + Ajuste'!K70,Indexador!$J$25:$J$48)</f>
        <v>0</v>
      </c>
      <c r="L72" s="1244">
        <f>SUMIF(Indexador!$B$25:$B$48,'Rede Básica + Ajuste'!L70,Indexador!$J$25:$J$48)</f>
        <v>0</v>
      </c>
      <c r="M72" s="1244">
        <f>SUMIF(Indexador!$B$25:$B$48,'Rede Básica + Ajuste'!M70,Indexador!$J$25:$J$48)</f>
        <v>0</v>
      </c>
      <c r="N72" s="1244">
        <f>SUMIF(Indexador!$B$25:$B$48,'Rede Básica + Ajuste'!N70,Indexador!$J$25:$J$48)</f>
        <v>0</v>
      </c>
      <c r="O72" s="1244">
        <f>SUMIF(Indexador!$B$25:$B$48,'Rede Básica + Ajuste'!O70,Indexador!$J$25:$J$48)</f>
        <v>0</v>
      </c>
      <c r="P72" s="124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0" t="s">
        <v>1170</v>
      </c>
      <c r="K74" s="1821"/>
      <c r="L74" s="1819" t="s">
        <v>1171</v>
      </c>
      <c r="M74" s="1819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2" t="s">
        <v>1153</v>
      </c>
      <c r="D75" s="1823"/>
      <c r="F75" s="270"/>
      <c r="G75" s="1245" t="s">
        <v>646</v>
      </c>
      <c r="H75" s="1246" t="s">
        <v>1172</v>
      </c>
      <c r="I75" s="1246" t="s">
        <v>1173</v>
      </c>
      <c r="J75" s="1247" t="s">
        <v>1174</v>
      </c>
      <c r="K75" s="1247" t="s">
        <v>1175</v>
      </c>
      <c r="L75" s="1247" t="s">
        <v>1174</v>
      </c>
      <c r="M75" s="1247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2" t="s">
        <v>1177</v>
      </c>
      <c r="D76" s="1248">
        <f>IF(D18="Ponta",B18,0)</f>
        <v>0</v>
      </c>
      <c r="E76" s="18"/>
      <c r="F76" s="270"/>
      <c r="G76" s="1249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0">
        <f>IF(MONTH(DataRevRea)=7,'Rede Básica + Ajuste'!J76,IF(G76&lt;$Q$69,(SUMIFS($E$18:$E$60,$B$18:$B$60,$D$76,$D$18:$D$60,"Ponta")),(SUMIFS($F$18:$F$60,$B$18:$B$60,$D$76,$D$18:$D$60,"Ponta"))))</f>
        <v>0</v>
      </c>
      <c r="M76" s="1250">
        <f>IF(MONTH(DataRevRea)=7,'Rede Básica + Ajuste'!K76,IF(G76&lt;$Q$69,(SUMIFS($E$18:$E$60,$B$18:$B$60,$D$76,$D$18:$D$60,"Fora Ponta")),(SUMIFS($F$18:$F$60,$B$18:$B$60,$D$76,$D$18:$D$60,"Fora Ponta"))))</f>
        <v>0</v>
      </c>
      <c r="N76" s="1251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2" t="s">
        <v>1178</v>
      </c>
      <c r="E78" s="1253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4" t="str">
        <f>"Cobertura "&amp;YEAR(CAPA!C14)</f>
        <v>Cobertura 2021</v>
      </c>
      <c r="D79" s="1255">
        <f>SUMPRODUCT(H76:H87,J76:J87)</f>
        <v>0</v>
      </c>
      <c r="E79" s="1255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4" t="s">
        <v>1180</v>
      </c>
      <c r="D80" s="1255">
        <f>SUMPRODUCT(H76:H87,L76:L87)</f>
        <v>0</v>
      </c>
      <c r="E80" s="1255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6">
        <f t="shared" si="12"/>
        <v>44774</v>
      </c>
      <c r="H87" s="1257">
        <f>SUMIFS($Y$18:$Y$60,$B$18:$B$60,$D$76,$D$18:$D$60,"Ponta")</f>
        <v>0</v>
      </c>
      <c r="I87" s="1257">
        <f>SUMIFS($Y$18:$Y$60,$B$18:$B$60,$D$76,$D$18:$D$60,"Fora Ponta")</f>
        <v>0</v>
      </c>
      <c r="J87" s="1257">
        <f t="shared" si="9"/>
        <v>0</v>
      </c>
      <c r="K87" s="1257">
        <f t="shared" si="10"/>
        <v>0</v>
      </c>
      <c r="L87" s="1257">
        <f>IF(MONTH(DataRevRea)=7,'Rede Básica + Ajuste'!J87,IF(G87&lt;$Q$69,(SUMIFS($E$18:$E$60,$B$18:$B$60,$D$76,$D$18:$D$60,"Ponta")),(SUMIFS($F$18:$F$60,$B$18:$B$60,$D$76,$D$18:$D$60,"Ponta"))))</f>
        <v>0</v>
      </c>
      <c r="M87" s="1257">
        <f>IF(MONTH(DataRevRea)=7,'Rede Básica + Ajuste'!K87,IF(G87&lt;$Q$69,(SUMIFS($E$18:$E$60,$B$18:$B$60,$D$76,$D$18:$D$60,"Fora Ponta")),(SUMIFS($F$18:$F$60,$B$18:$B$60,$D$76,$D$18:$D$60,"Fora Ponta"))))</f>
        <v>0</v>
      </c>
      <c r="N87" s="1258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0" t="s">
        <v>1170</v>
      </c>
      <c r="K89" s="1821"/>
      <c r="L89" s="1819" t="s">
        <v>1171</v>
      </c>
      <c r="M89" s="1819"/>
      <c r="N89" s="278"/>
    </row>
    <row r="90" spans="2:50" ht="15.75">
      <c r="C90" s="1822" t="s">
        <v>1181</v>
      </c>
      <c r="D90" s="1823"/>
      <c r="F90" s="270"/>
      <c r="G90" s="1245" t="s">
        <v>646</v>
      </c>
      <c r="H90" s="1246" t="s">
        <v>1172</v>
      </c>
      <c r="I90" s="1246" t="s">
        <v>1173</v>
      </c>
      <c r="J90" s="1247" t="s">
        <v>1174</v>
      </c>
      <c r="K90" s="1247" t="s">
        <v>1175</v>
      </c>
      <c r="L90" s="1247" t="s">
        <v>1174</v>
      </c>
      <c r="M90" s="1247" t="s">
        <v>1175</v>
      </c>
      <c r="N90" s="277" t="s">
        <v>1176</v>
      </c>
    </row>
    <row r="91" spans="2:50" ht="15.75">
      <c r="C91" s="1242" t="s">
        <v>1177</v>
      </c>
      <c r="D91" s="1248">
        <f>IF(D18="Ponta",B18,0)</f>
        <v>0</v>
      </c>
      <c r="E91" s="18"/>
      <c r="F91" s="270"/>
      <c r="G91" s="1249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0">
        <f>IF(MONTH(DataRevRea)=7,'Rede Básica + Ajuste'!J91,IF(G91&lt;$Q$69,(SUMIFS($G$18:$G$60,$B$18:$B$60,$D$91,$D$18:$D$60,"Ponta")),(SUMIFS($H$18:$H$60,$B$18:$B$60,$D$91,$D$18:$D$60,"Ponta"))))</f>
        <v>0</v>
      </c>
      <c r="M91" s="1250">
        <f>IF(MONTH(DataRevRea)=7,'Rede Básica + Ajuste'!K91,IF(G91&lt;$Q$69,(SUMIFS($G$18:$G$60,$B$18:$B$60,$D$91,$D$18:$D$60,"Fora Ponta")),(SUMIFS($H$18:$H$60,$B$18:$B$60,$D$91,$D$18:$D$60,"Fora Ponta"))))</f>
        <v>0</v>
      </c>
      <c r="N91" s="1251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2" t="s">
        <v>1178</v>
      </c>
      <c r="E93" s="1253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4" t="str">
        <f>C79</f>
        <v>Cobertura 2021</v>
      </c>
      <c r="D94" s="1255">
        <f>SUMPRODUCT(H91:H102,J91:J102)</f>
        <v>0</v>
      </c>
      <c r="E94" s="1255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4" t="s">
        <v>1180</v>
      </c>
      <c r="D95" s="1255">
        <f>SUMPRODUCT(H91:H102,L91:L102)</f>
        <v>0</v>
      </c>
      <c r="E95" s="1255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6">
        <f t="shared" si="13"/>
        <v>44774</v>
      </c>
      <c r="H102" s="1257">
        <f t="shared" si="13"/>
        <v>0</v>
      </c>
      <c r="I102" s="1257">
        <f t="shared" si="13"/>
        <v>0</v>
      </c>
      <c r="J102" s="1257">
        <f t="shared" si="14"/>
        <v>0</v>
      </c>
      <c r="K102" s="1257">
        <f t="shared" si="15"/>
        <v>0</v>
      </c>
      <c r="L102" s="1257">
        <f>IF(MONTH(DataRevRea)=7,'Rede Básica + Ajuste'!J102,IF(G102&lt;$Q$69,(SUMIFS($G$18:$G$60,$B$18:$B$60,$D$91,$D$18:$D$60,"Ponta")),(SUMIFS($H$18:$H$60,$B$18:$B$60,$D$91,$D$18:$D$60,"Ponta"))))</f>
        <v>0</v>
      </c>
      <c r="M102" s="1257">
        <f>IF(MONTH(DataRevRea)=7,'Rede Básica + Ajuste'!K102,IF(G102&lt;$Q$69,(SUMIFS($G$18:$G$60,$B$18:$B$60,$D$91,$D$18:$D$60,"Fora Ponta")),(SUMIFS($H$18:$H$60,$B$18:$B$60,$D$91,$D$18:$D$60,"Fora Ponta"))))</f>
        <v>0</v>
      </c>
      <c r="N102" s="1258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0" t="s">
        <v>1170</v>
      </c>
      <c r="K104" s="1821"/>
      <c r="L104" s="1819" t="s">
        <v>1171</v>
      </c>
      <c r="M104" s="1819"/>
      <c r="N104" s="278"/>
    </row>
    <row r="105" spans="3:14" ht="15.75">
      <c r="C105" s="1822" t="s">
        <v>1153</v>
      </c>
      <c r="D105" s="1823"/>
      <c r="F105" s="270"/>
      <c r="G105" s="1245" t="s">
        <v>646</v>
      </c>
      <c r="H105" s="1246" t="s">
        <v>1172</v>
      </c>
      <c r="I105" s="1246" t="s">
        <v>1173</v>
      </c>
      <c r="J105" s="1247" t="s">
        <v>1174</v>
      </c>
      <c r="K105" s="1247" t="s">
        <v>1175</v>
      </c>
      <c r="L105" s="1247" t="s">
        <v>1174</v>
      </c>
      <c r="M105" s="1247" t="s">
        <v>1175</v>
      </c>
      <c r="N105" s="277" t="s">
        <v>1176</v>
      </c>
    </row>
    <row r="106" spans="3:14" ht="15.75">
      <c r="C106" s="1242" t="s">
        <v>1177</v>
      </c>
      <c r="D106" s="1259">
        <f>IF(D19="Ponta",B19,0)</f>
        <v>0</v>
      </c>
      <c r="E106" s="18"/>
      <c r="F106" s="270"/>
      <c r="G106" s="1249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0">
        <f>IF(MONTH(DataRevRea)=7,'Rede Básica + Ajuste'!J106,IF(G106&lt;$Q$69,(SUMIFS($E$18:$E$60,$B$18:$B$60,$D$106,$D$18:$D$60,"Ponta")),(SUMIFS($F$18:$F$60,$B$18:$B$60,$D$106,$D$18:$D$60,"Ponta"))))</f>
        <v>0</v>
      </c>
      <c r="M106" s="1250">
        <f>IF(MONTH(DataRevRea)=7,'Rede Básica + Ajuste'!K106,IF(G106&lt;$Q$69,(SUMIFS($E$18:$E$60,$B$18:$B$60,$D$106,$D$18:$D$60,"Fora Ponta")),(SUMIFS($F$18:$F$60,$B$18:$B$60,$D$106,$D$18:$D$60,"Fora Ponta"))))</f>
        <v>0</v>
      </c>
      <c r="N106" s="1251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2" t="s">
        <v>1178</v>
      </c>
      <c r="E108" s="1253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4" t="str">
        <f>C94</f>
        <v>Cobertura 2021</v>
      </c>
      <c r="D109" s="1255">
        <f>SUMPRODUCT(H106:H117,J106:J117)</f>
        <v>0</v>
      </c>
      <c r="E109" s="1255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4" t="s">
        <v>1180</v>
      </c>
      <c r="D110" s="1255">
        <f>SUMPRODUCT(H106:H117,L106:L117)</f>
        <v>0</v>
      </c>
      <c r="E110" s="1255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6">
        <f t="shared" si="17"/>
        <v>44774</v>
      </c>
      <c r="H117" s="1257">
        <f>SUMIFS($Y$18:$Y$60,$B$18:$B$60,$D$106,$D$18:$D$60,"Ponta")</f>
        <v>0</v>
      </c>
      <c r="I117" s="1257">
        <f>SUMIFS($Y$18:$Y$60,$B$18:$B$60,$D$106,$D$18:$D$60,"Fora Ponta")</f>
        <v>0</v>
      </c>
      <c r="J117" s="1257">
        <f t="shared" si="18"/>
        <v>0</v>
      </c>
      <c r="K117" s="1257">
        <f t="shared" si="19"/>
        <v>0</v>
      </c>
      <c r="L117" s="1257">
        <f>IF(MONTH(DataRevRea)=7,'Rede Básica + Ajuste'!J117,IF(G117&lt;$Q$69,(SUMIFS($E$18:$E$60,$B$18:$B$60,$D$106,$D$18:$D$60,"Ponta")),(SUMIFS($F$18:$F$60,$B$18:$B$60,$D$106,$D$18:$D$60,"Ponta"))))</f>
        <v>0</v>
      </c>
      <c r="M117" s="1257">
        <f>IF(MONTH(DataRevRea)=7,'Rede Básica + Ajuste'!K117,IF(G117&lt;$Q$69,(SUMIFS($E$18:$E$60,$B$18:$B$60,$D$106,$D$18:$D$60,"Fora Ponta")),(SUMIFS($F$18:$F$60,$B$18:$B$60,$D$106,$D$18:$D$60,"Fora Ponta"))))</f>
        <v>0</v>
      </c>
      <c r="N117" s="1258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0" t="s">
        <v>1170</v>
      </c>
      <c r="K119" s="1821"/>
      <c r="L119" s="1819" t="s">
        <v>1171</v>
      </c>
      <c r="M119" s="1819"/>
      <c r="N119" s="278"/>
    </row>
    <row r="120" spans="3:14" ht="15.75">
      <c r="C120" s="1822" t="s">
        <v>1181</v>
      </c>
      <c r="D120" s="1823"/>
      <c r="F120" s="270"/>
      <c r="G120" s="1245" t="s">
        <v>646</v>
      </c>
      <c r="H120" s="1246" t="s">
        <v>1172</v>
      </c>
      <c r="I120" s="1246" t="s">
        <v>1173</v>
      </c>
      <c r="J120" s="1247" t="s">
        <v>1174</v>
      </c>
      <c r="K120" s="1247" t="s">
        <v>1175</v>
      </c>
      <c r="L120" s="1247" t="s">
        <v>1174</v>
      </c>
      <c r="M120" s="1247" t="s">
        <v>1175</v>
      </c>
      <c r="N120" s="277" t="s">
        <v>1176</v>
      </c>
    </row>
    <row r="121" spans="3:14" ht="15.75">
      <c r="C121" s="1242" t="s">
        <v>1177</v>
      </c>
      <c r="D121" s="1259">
        <f>IF(D19="Ponta",B19,0)</f>
        <v>0</v>
      </c>
      <c r="E121" s="18"/>
      <c r="F121" s="270"/>
      <c r="G121" s="1249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0">
        <f>IF(MONTH(DataRevRea)=7,'Rede Básica + Ajuste'!J121,IF(G121&lt;$Q$69,(SUMIFS($G$18:$G$60,$B$18:$B$60,$D$121,$D$18:$D$60,"Ponta")),(SUMIFS($H$18:$H$60,$B$18:$B$60,$D$121,$D$18:$D$60,"Ponta"))))</f>
        <v>0</v>
      </c>
      <c r="M121" s="1250">
        <f>IF(MONTH(DataRevRea)=7,'Rede Básica + Ajuste'!K121,IF(G121&lt;$Q$69,(SUMIFS($G$18:$G$60,$B$18:$B$60,$D$121,$D$18:$D$60,"Fora Ponta")),(SUMIFS($H$18:$H$60,$B$18:$B$60,$D$121,$D$18:$D$60,"Fora Ponta"))))</f>
        <v>0</v>
      </c>
      <c r="N121" s="1251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2" t="s">
        <v>1178</v>
      </c>
      <c r="E123" s="1253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4" t="str">
        <f>C109</f>
        <v>Cobertura 2021</v>
      </c>
      <c r="D124" s="1255">
        <f>SUMPRODUCT(H121:H132,J121:J132)</f>
        <v>0</v>
      </c>
      <c r="E124" s="1255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4" t="s">
        <v>1180</v>
      </c>
      <c r="D125" s="1255">
        <f>SUMPRODUCT(H121:H132,L121:L132)</f>
        <v>0</v>
      </c>
      <c r="E125" s="1255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6">
        <f t="shared" si="21"/>
        <v>44774</v>
      </c>
      <c r="H132" s="1257">
        <f t="shared" si="21"/>
        <v>0</v>
      </c>
      <c r="I132" s="1257">
        <f t="shared" si="21"/>
        <v>0</v>
      </c>
      <c r="J132" s="1257">
        <f t="shared" si="22"/>
        <v>0</v>
      </c>
      <c r="K132" s="1257">
        <f t="shared" si="23"/>
        <v>0</v>
      </c>
      <c r="L132" s="1257">
        <f>IF(MONTH(DataRevRea)=7,'Rede Básica + Ajuste'!J132,IF(G132&lt;$Q$69,(SUMIFS($G$18:$G$60,$B$18:$B$60,$D$121,$D$18:$D$60,"Ponta")),(SUMIFS($H$18:$H$60,$B$18:$B$60,$D$121,$D$18:$D$60,"Ponta"))))</f>
        <v>0</v>
      </c>
      <c r="M132" s="1257">
        <f>IF(MONTH(DataRevRea)=7,'Rede Básica + Ajuste'!K132,IF(G132&lt;$Q$69,(SUMIFS($G$18:$G$60,$B$18:$B$60,$D$121,$D$18:$D$60,"Fora Ponta")),(SUMIFS($H$18:$H$60,$B$18:$B$60,$D$121,$D$18:$D$60,"Fora Ponta"))))</f>
        <v>0</v>
      </c>
      <c r="N132" s="1258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0" t="s">
        <v>1170</v>
      </c>
      <c r="K134" s="1821"/>
      <c r="L134" s="1819" t="s">
        <v>1171</v>
      </c>
      <c r="M134" s="1819"/>
      <c r="N134" s="278"/>
    </row>
    <row r="135" spans="3:14" ht="15.75">
      <c r="C135" s="1822" t="s">
        <v>1153</v>
      </c>
      <c r="D135" s="1823"/>
      <c r="F135" s="270"/>
      <c r="G135" s="1245" t="s">
        <v>646</v>
      </c>
      <c r="H135" s="1246" t="s">
        <v>1172</v>
      </c>
      <c r="I135" s="1246" t="s">
        <v>1173</v>
      </c>
      <c r="J135" s="1247" t="s">
        <v>1174</v>
      </c>
      <c r="K135" s="1247" t="s">
        <v>1175</v>
      </c>
      <c r="L135" s="1247" t="s">
        <v>1174</v>
      </c>
      <c r="M135" s="1247" t="s">
        <v>1175</v>
      </c>
      <c r="N135" s="277" t="s">
        <v>1176</v>
      </c>
    </row>
    <row r="136" spans="3:14" ht="15.75">
      <c r="C136" s="1242" t="s">
        <v>1177</v>
      </c>
      <c r="D136" s="1259">
        <f>IF(D20="Ponta",B20,0)</f>
        <v>0</v>
      </c>
      <c r="E136" s="18"/>
      <c r="F136" s="270"/>
      <c r="G136" s="1249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0">
        <f>IF(MONTH(DataRevRea)=7,'Rede Básica + Ajuste'!J136,IF(G136&lt;$Q$69,(SUMIFS($E$18:$E$60,$B$18:$B$60,$D$136,$D$18:$D$60,"Ponta")),(SUMIFS($F$18:$F$60,$B$18:$B$60,$D$136,$D$18:$D$60,"Ponta"))))</f>
        <v>0</v>
      </c>
      <c r="M136" s="1250">
        <f>IF(MONTH(DataRevRea)=7,'Rede Básica + Ajuste'!K136,IF(G136&lt;$Q$69,(SUMIFS($E$18:$E$60,$B$18:$B$60,$D$136,$D$18:$D$60,"Fora Ponta")),(SUMIFS($F$18:$F$60,$B$18:$B$60,$D$136,$D$18:$D$60,"Fora Ponta"))))</f>
        <v>0</v>
      </c>
      <c r="N136" s="1251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2" t="s">
        <v>1178</v>
      </c>
      <c r="E138" s="1253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4" t="str">
        <f>C124</f>
        <v>Cobertura 2021</v>
      </c>
      <c r="D139" s="1255">
        <f>SUMPRODUCT(H136:H147,J136:J147)</f>
        <v>0</v>
      </c>
      <c r="E139" s="1255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4" t="s">
        <v>1180</v>
      </c>
      <c r="D140" s="1255">
        <f>SUMPRODUCT(H136:H147,L136:L147)</f>
        <v>0</v>
      </c>
      <c r="E140" s="1255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6">
        <f t="shared" si="25"/>
        <v>44774</v>
      </c>
      <c r="H147" s="1257">
        <f>SUMIFS($Y$18:$Y$60,$B$18:$B$60,$D$136,$D$18:$D$60,"Ponta")</f>
        <v>0</v>
      </c>
      <c r="I147" s="1257">
        <f>SUMIFS($Y$18:$Y$60,$B$18:$B$60,$D$136,$D$18:$D$60,"Fora Ponta")</f>
        <v>0</v>
      </c>
      <c r="J147" s="1257">
        <f t="shared" si="26"/>
        <v>0</v>
      </c>
      <c r="K147" s="1257">
        <f t="shared" si="27"/>
        <v>0</v>
      </c>
      <c r="L147" s="1257">
        <f>IF(MONTH(DataRevRea)=7,'Rede Básica + Ajuste'!J147,IF(G147&lt;$Q$69,(SUMIFS($E$18:$E$60,$B$18:$B$60,$D$136,$D$18:$D$60,"Ponta")),(SUMIFS($F$18:$F$60,$B$18:$B$60,$D$136,$D$18:$D$60,"Ponta"))))</f>
        <v>0</v>
      </c>
      <c r="M147" s="1257">
        <f>IF(MONTH(DataRevRea)=7,'Rede Básica + Ajuste'!K147,IF(G147&lt;$Q$69,(SUMIFS($E$18:$E$60,$B$18:$B$60,$D$136,$D$18:$D$60,"Fora Ponta")),(SUMIFS($F$18:$F$60,$B$18:$B$60,$D$136,$D$18:$D$60,"Fora Ponta"))))</f>
        <v>0</v>
      </c>
      <c r="N147" s="1258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0" t="s">
        <v>1170</v>
      </c>
      <c r="K149" s="1821"/>
      <c r="L149" s="1819" t="s">
        <v>1171</v>
      </c>
      <c r="M149" s="1819"/>
      <c r="N149" s="278"/>
    </row>
    <row r="150" spans="3:14" ht="15.75">
      <c r="C150" s="1822" t="s">
        <v>1181</v>
      </c>
      <c r="D150" s="1823"/>
      <c r="F150" s="270"/>
      <c r="G150" s="1245" t="s">
        <v>646</v>
      </c>
      <c r="H150" s="1246" t="s">
        <v>1172</v>
      </c>
      <c r="I150" s="1246" t="s">
        <v>1173</v>
      </c>
      <c r="J150" s="1247" t="s">
        <v>1174</v>
      </c>
      <c r="K150" s="1247" t="s">
        <v>1175</v>
      </c>
      <c r="L150" s="1247" t="s">
        <v>1174</v>
      </c>
      <c r="M150" s="1247" t="s">
        <v>1175</v>
      </c>
      <c r="N150" s="277" t="s">
        <v>1176</v>
      </c>
    </row>
    <row r="151" spans="3:14" ht="15.75">
      <c r="C151" s="1242" t="s">
        <v>1177</v>
      </c>
      <c r="D151" s="1259">
        <f>IF(D20="Ponta",B20,0)</f>
        <v>0</v>
      </c>
      <c r="E151" s="18"/>
      <c r="F151" s="270"/>
      <c r="G151" s="1249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0">
        <f>IF(MONTH(DataRevRea)=7,'Rede Básica + Ajuste'!J151,IF(G151&lt;$Q$69,(SUMIFS($G$18:$G$60,$B$18:$B$60,$D$151,$D$18:$D$60,"Ponta")),(SUMIFS($H$18:$H$60,$B$18:$B$60,$D$151,$D$18:$D$60,"Ponta"))))</f>
        <v>0</v>
      </c>
      <c r="M151" s="1250">
        <f>IF(MONTH(DataRevRea)=7,'Rede Básica + Ajuste'!K151,IF(G151&lt;$Q$69,(SUMIFS($G$18:$G$60,$B$18:$B$60,$D$151,$D$18:$D$60,"Fora Ponta")),(SUMIFS($H$18:$H$60,$B$18:$B$60,$D$151,$D$18:$D$60,"Fora Ponta"))))</f>
        <v>0</v>
      </c>
      <c r="N151" s="1251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2" t="s">
        <v>1178</v>
      </c>
      <c r="E153" s="1253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4" t="str">
        <f>C139</f>
        <v>Cobertura 2021</v>
      </c>
      <c r="D154" s="1255">
        <f>SUMPRODUCT(H151:H162,J151:J162)</f>
        <v>0</v>
      </c>
      <c r="E154" s="1255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4" t="s">
        <v>1180</v>
      </c>
      <c r="D155" s="1255">
        <f>SUMPRODUCT(H151:H162,L151:L162)</f>
        <v>0</v>
      </c>
      <c r="E155" s="1255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6">
        <f t="shared" si="29"/>
        <v>44774</v>
      </c>
      <c r="H162" s="1257">
        <f t="shared" si="29"/>
        <v>0</v>
      </c>
      <c r="I162" s="1257">
        <f t="shared" si="29"/>
        <v>0</v>
      </c>
      <c r="J162" s="1257">
        <f t="shared" si="30"/>
        <v>0</v>
      </c>
      <c r="K162" s="1257">
        <f t="shared" si="31"/>
        <v>0</v>
      </c>
      <c r="L162" s="1257">
        <f>IF(MONTH(DataRevRea)=7,'Rede Básica + Ajuste'!J162,IF(G162&lt;$Q$69,(SUMIFS($G$18:$G$60,$B$18:$B$60,$D$151,$D$18:$D$60,"Ponta")),(SUMIFS($H$18:$H$60,$B$18:$B$60,$D$151,$D$18:$D$60,"Ponta"))))</f>
        <v>0</v>
      </c>
      <c r="M162" s="1257">
        <f>IF(MONTH(DataRevRea)=7,'Rede Básica + Ajuste'!K162,IF(G162&lt;$Q$69,(SUMIFS($G$18:$G$60,$B$18:$B$60,$D$151,$D$18:$D$60,"Fora Ponta")),(SUMIFS($H$18:$H$60,$B$18:$B$60,$D$151,$D$18:$D$60,"Fora Ponta"))))</f>
        <v>0</v>
      </c>
      <c r="N162" s="1258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0" t="s">
        <v>1170</v>
      </c>
      <c r="K164" s="1821"/>
      <c r="L164" s="1819" t="s">
        <v>1171</v>
      </c>
      <c r="M164" s="1819"/>
      <c r="N164" s="278"/>
    </row>
    <row r="165" spans="3:14" ht="15.75">
      <c r="C165" s="1822" t="s">
        <v>1153</v>
      </c>
      <c r="D165" s="1823"/>
      <c r="F165" s="270"/>
      <c r="G165" s="1245" t="s">
        <v>646</v>
      </c>
      <c r="H165" s="1246" t="s">
        <v>1172</v>
      </c>
      <c r="I165" s="1246" t="s">
        <v>1173</v>
      </c>
      <c r="J165" s="1247" t="s">
        <v>1174</v>
      </c>
      <c r="K165" s="1247" t="s">
        <v>1175</v>
      </c>
      <c r="L165" s="1247" t="s">
        <v>1174</v>
      </c>
      <c r="M165" s="1247" t="s">
        <v>1175</v>
      </c>
      <c r="N165" s="277" t="s">
        <v>1176</v>
      </c>
    </row>
    <row r="166" spans="3:14" ht="15.75">
      <c r="C166" s="1242" t="s">
        <v>1177</v>
      </c>
      <c r="D166" s="1259">
        <f>IF(D21="Ponta",B21,0)</f>
        <v>0</v>
      </c>
      <c r="E166" s="18"/>
      <c r="F166" s="270"/>
      <c r="G166" s="1249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0">
        <f>IF(MONTH(DataRevRea)=7,'Rede Básica + Ajuste'!J166,IF(G166&lt;$Q$69,(SUMIFS($E$18:$E$60,$B$18:$B$60,$D$166,$D$18:$D$60,"Ponta")),(SUMIFS($F$18:$F$60,$B$18:$B$60,$D$166,$D$18:$D$60,"Ponta"))))</f>
        <v>0</v>
      </c>
      <c r="M166" s="1250">
        <f>IF(MONTH(DataRevRea)=7,'Rede Básica + Ajuste'!K166,IF(G166&lt;$Q$69,(SUMIFS($E$18:$E$60,$B$18:$B$60,$D$166,$D$18:$D$60,"Fora Ponta")),(SUMIFS($F$18:$F$60,$B$18:$B$60,$D$166,$D$18:$D$60,"Fora Ponta"))))</f>
        <v>0</v>
      </c>
      <c r="N166" s="1251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2" t="s">
        <v>1178</v>
      </c>
      <c r="E168" s="1253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4" t="str">
        <f>C154</f>
        <v>Cobertura 2021</v>
      </c>
      <c r="D169" s="1255">
        <f>SUMPRODUCT(H166:H177,J166:J177)</f>
        <v>0</v>
      </c>
      <c r="E169" s="1255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4" t="s">
        <v>1180</v>
      </c>
      <c r="D170" s="1255">
        <f>SUMPRODUCT(H166:H177,L166:L177)</f>
        <v>0</v>
      </c>
      <c r="E170" s="1255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6">
        <f t="shared" si="33"/>
        <v>44774</v>
      </c>
      <c r="H177" s="1257">
        <f>SUMIFS($Y$18:$Y$60,$B$18:$B$60,$D$166,$D$18:$D$60,"Ponta")</f>
        <v>0</v>
      </c>
      <c r="I177" s="1257">
        <f>SUMIFS($Y$18:$Y$60,$B$18:$B$60,$D$166,$D$18:$D$60,"Fora Ponta")</f>
        <v>0</v>
      </c>
      <c r="J177" s="1257">
        <f t="shared" si="34"/>
        <v>0</v>
      </c>
      <c r="K177" s="1257">
        <f t="shared" si="35"/>
        <v>0</v>
      </c>
      <c r="L177" s="1257">
        <f>IF(MONTH(DataRevRea)=7,'Rede Básica + Ajuste'!J177,IF(G177&lt;$Q$69,(SUMIFS($E$18:$E$60,$B$18:$B$60,$D$166,$D$18:$D$60,"Ponta")),(SUMIFS($F$18:$F$60,$B$18:$B$60,$D$166,$D$18:$D$60,"Ponta"))))</f>
        <v>0</v>
      </c>
      <c r="M177" s="1257">
        <f>IF(MONTH(DataRevRea)=7,'Rede Básica + Ajuste'!K177,IF(G177&lt;$Q$69,(SUMIFS($E$18:$E$60,$B$18:$B$60,$D$166,$D$18:$D$60,"Fora Ponta")),(SUMIFS($F$18:$F$60,$B$18:$B$60,$D$166,$D$18:$D$60,"Fora Ponta"))))</f>
        <v>0</v>
      </c>
      <c r="N177" s="1258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0" t="s">
        <v>1170</v>
      </c>
      <c r="K179" s="1821"/>
      <c r="L179" s="1819" t="s">
        <v>1171</v>
      </c>
      <c r="M179" s="1819"/>
      <c r="N179" s="278"/>
    </row>
    <row r="180" spans="3:14" ht="15.75">
      <c r="C180" s="1822" t="s">
        <v>1181</v>
      </c>
      <c r="D180" s="1823"/>
      <c r="F180" s="270"/>
      <c r="G180" s="1245" t="s">
        <v>646</v>
      </c>
      <c r="H180" s="1246" t="s">
        <v>1172</v>
      </c>
      <c r="I180" s="1246" t="s">
        <v>1173</v>
      </c>
      <c r="J180" s="1247" t="s">
        <v>1174</v>
      </c>
      <c r="K180" s="1247" t="s">
        <v>1175</v>
      </c>
      <c r="L180" s="1247" t="s">
        <v>1174</v>
      </c>
      <c r="M180" s="1247" t="s">
        <v>1175</v>
      </c>
      <c r="N180" s="277" t="s">
        <v>1176</v>
      </c>
    </row>
    <row r="181" spans="3:14" ht="15.75">
      <c r="C181" s="1242" t="s">
        <v>1177</v>
      </c>
      <c r="D181" s="1259">
        <f>IF(D21="Ponta",B21,0)</f>
        <v>0</v>
      </c>
      <c r="E181" s="18"/>
      <c r="F181" s="270"/>
      <c r="G181" s="1249">
        <f>G166</f>
        <v>44440</v>
      </c>
      <c r="H181" s="272">
        <f>H166</f>
        <v>0</v>
      </c>
      <c r="I181" s="272">
        <f>I166</f>
        <v>0</v>
      </c>
      <c r="J181" s="1250">
        <f>SUMIFS($G$18:$G$60,$B$18:$B$60,$D$181,$D$18:$D$60,"Ponta")</f>
        <v>0</v>
      </c>
      <c r="K181" s="1250">
        <f>SUMIFS($G$18:$G$60,$B$18:$B$60,$D$181,$D$18:$D$60,"Fora Ponta")</f>
        <v>0</v>
      </c>
      <c r="L181" s="1250">
        <f>IF(MONTH(DataRevRea)=7,'Rede Básica + Ajuste'!J181,IF(G181&lt;$Q$69,(SUMIFS($G$18:$G$60,$B$18:$B$60,$D$181,$D$18:$D$60,"Ponta")),(SUMIFS($H$18:$H$60,$B$18:$B$60,$D$181,$D$18:$D$60,"Ponta"))))</f>
        <v>0</v>
      </c>
      <c r="M181" s="1250">
        <f>IF(MONTH(DataRevRea)=7,'Rede Básica + Ajuste'!K181,IF(G181&lt;$Q$69,(SUMIFS($G$18:$G$60,$B$18:$B$60,$D$181,$D$18:$D$60,"Fora Ponta")),(SUMIFS($H$18:$H$60,$B$18:$B$60,$D$181,$D$18:$D$60,"Fora Ponta"))))</f>
        <v>0</v>
      </c>
      <c r="N181" s="1251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2" t="s">
        <v>1178</v>
      </c>
      <c r="E183" s="1253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4" t="str">
        <f>C169</f>
        <v>Cobertura 2021</v>
      </c>
      <c r="D184" s="1255">
        <f>SUMPRODUCT(H181:H192,J181:J192)</f>
        <v>0</v>
      </c>
      <c r="E184" s="1255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4" t="s">
        <v>1180</v>
      </c>
      <c r="D185" s="1255">
        <f>SUMPRODUCT(H181:H192,L181:L192)</f>
        <v>0</v>
      </c>
      <c r="E185" s="1255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6">
        <f t="shared" si="37"/>
        <v>44774</v>
      </c>
      <c r="H192" s="1257">
        <f t="shared" si="37"/>
        <v>0</v>
      </c>
      <c r="I192" s="1257">
        <f t="shared" si="37"/>
        <v>0</v>
      </c>
      <c r="J192" s="1257">
        <f t="shared" si="38"/>
        <v>0</v>
      </c>
      <c r="K192" s="1257">
        <f t="shared" si="39"/>
        <v>0</v>
      </c>
      <c r="L192" s="1257">
        <f>IF(MONTH(DataRevRea)=7,'Rede Básica + Ajuste'!J192,IF(G192&lt;$Q$69,(SUMIFS($G$18:$G$60,$B$18:$B$60,$D$181,$D$18:$D$60,"Ponta")),(SUMIFS($H$18:$H$60,$B$18:$B$60,$D$181,$D$18:$D$60,"Ponta"))))</f>
        <v>0</v>
      </c>
      <c r="M192" s="1257">
        <f>IF(MONTH(DataRevRea)=7,'Rede Básica + Ajuste'!K192,IF(G192&lt;$Q$69,(SUMIFS($G$18:$G$60,$B$18:$B$60,$D$181,$D$18:$D$60,"Fora Ponta")),(SUMIFS($H$18:$H$60,$B$18:$B$60,$D$181,$D$18:$D$60,"Fora Ponta"))))</f>
        <v>0</v>
      </c>
      <c r="N192" s="1258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0" t="s">
        <v>1170</v>
      </c>
      <c r="K194" s="1821"/>
      <c r="L194" s="1819" t="s">
        <v>1171</v>
      </c>
      <c r="M194" s="1819"/>
      <c r="N194" s="278"/>
    </row>
    <row r="195" spans="3:14" ht="15.75">
      <c r="C195" s="1822" t="s">
        <v>1153</v>
      </c>
      <c r="D195" s="1823"/>
      <c r="F195" s="270"/>
      <c r="G195" s="1245" t="s">
        <v>646</v>
      </c>
      <c r="H195" s="1246" t="s">
        <v>1172</v>
      </c>
      <c r="I195" s="1246" t="s">
        <v>1173</v>
      </c>
      <c r="J195" s="1247" t="s">
        <v>1174</v>
      </c>
      <c r="K195" s="1247" t="s">
        <v>1175</v>
      </c>
      <c r="L195" s="1247" t="s">
        <v>1174</v>
      </c>
      <c r="M195" s="1247" t="s">
        <v>1175</v>
      </c>
      <c r="N195" s="277" t="s">
        <v>1176</v>
      </c>
    </row>
    <row r="196" spans="3:14" ht="15.75">
      <c r="C196" s="1242" t="s">
        <v>1177</v>
      </c>
      <c r="D196" s="1259">
        <f>IF(D22="Ponta",B22,0)</f>
        <v>0</v>
      </c>
      <c r="E196" s="18"/>
      <c r="F196" s="270"/>
      <c r="G196" s="1249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0">
        <f>SUMIFS($E$18:$E$60,$B$18:$B$60,$D$196,$D$18:$D$60,"Ponta")</f>
        <v>0</v>
      </c>
      <c r="K196" s="1250">
        <f>SUMIFS($E$18:$E$60,$B$18:$B$60,$D$196,$D$18:$D$60,"Fora Ponta")</f>
        <v>0</v>
      </c>
      <c r="L196" s="1250">
        <f>IF(MONTH(DataRevRea)=7,'Rede Básica + Ajuste'!J196,IF(G196&lt;$Q$69,(SUMIFS($E$18:$E$60,$B$18:$B$60,$D$196,$D$18:$D$60,"Ponta")),(SUMIFS($F$18:$F$60,$B$18:$B$60,$D$196,$D$18:$D$60,"Ponta"))))</f>
        <v>0</v>
      </c>
      <c r="M196" s="1250">
        <f>IF(MONTH(DataRevRea)=7,'Rede Básica + Ajuste'!K196,IF(G196&lt;$Q$69,(SUMIFS($E$18:$E$60,$B$18:$B$60,$D$196,$D$18:$D$60,"Fora Ponta")),(SUMIFS($F$18:$F$60,$B$18:$B$60,$D$196,$D$18:$D$60,"Fora Ponta"))))</f>
        <v>0</v>
      </c>
      <c r="N196" s="1251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2" t="s">
        <v>1178</v>
      </c>
      <c r="E198" s="1253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4" t="str">
        <f>C184</f>
        <v>Cobertura 2021</v>
      </c>
      <c r="D199" s="1255">
        <f>SUMPRODUCT(H196:H207,J196:J207)</f>
        <v>0</v>
      </c>
      <c r="E199" s="1255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4" t="s">
        <v>1180</v>
      </c>
      <c r="D200" s="1255">
        <f>SUMPRODUCT(H196:H207,L196:L207)</f>
        <v>0</v>
      </c>
      <c r="E200" s="1255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6">
        <f t="shared" si="41"/>
        <v>44774</v>
      </c>
      <c r="H207" s="1257">
        <f>SUMIFS($Y$18:$Y$60,$B$18:$B$60,$D$196,$D$18:$D$60,"Ponta")</f>
        <v>0</v>
      </c>
      <c r="I207" s="1257">
        <f>SUMIFS($Y$18:$Y$60,$B$18:$B$60,$D$196,$D$18:$D$60,"Fora Ponta")</f>
        <v>0</v>
      </c>
      <c r="J207" s="1257">
        <f t="shared" si="42"/>
        <v>0</v>
      </c>
      <c r="K207" s="1257">
        <f t="shared" si="43"/>
        <v>0</v>
      </c>
      <c r="L207" s="1257">
        <f>IF(MONTH(DataRevRea)=7,'Rede Básica + Ajuste'!J207,IF(G207&lt;$Q$69,(SUMIFS($E$18:$E$60,$B$18:$B$60,$D$196,$D$18:$D$60,"Ponta")),(SUMIFS($F$18:$F$60,$B$18:$B$60,$D$196,$D$18:$D$60,"Ponta"))))</f>
        <v>0</v>
      </c>
      <c r="M207" s="1257">
        <f>IF(MONTH(DataRevRea)=7,'Rede Básica + Ajuste'!K207,IF(G207&lt;$Q$69,(SUMIFS($E$18:$E$60,$B$18:$B$60,$D$196,$D$18:$D$60,"Fora Ponta")),(SUMIFS($F$18:$F$60,$B$18:$B$60,$D$196,$D$18:$D$60,"Fora Ponta"))))</f>
        <v>0</v>
      </c>
      <c r="N207" s="1258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0" t="s">
        <v>1170</v>
      </c>
      <c r="K209" s="1821"/>
      <c r="L209" s="1819" t="s">
        <v>1171</v>
      </c>
      <c r="M209" s="1819"/>
      <c r="N209" s="278"/>
    </row>
    <row r="210" spans="3:14" ht="15.75">
      <c r="C210" s="1822" t="s">
        <v>1181</v>
      </c>
      <c r="D210" s="1823"/>
      <c r="F210" s="270"/>
      <c r="G210" s="1245" t="s">
        <v>646</v>
      </c>
      <c r="H210" s="1246" t="s">
        <v>1172</v>
      </c>
      <c r="I210" s="1246" t="s">
        <v>1173</v>
      </c>
      <c r="J210" s="1247" t="s">
        <v>1174</v>
      </c>
      <c r="K210" s="1247" t="s">
        <v>1175</v>
      </c>
      <c r="L210" s="1247" t="s">
        <v>1174</v>
      </c>
      <c r="M210" s="1247" t="s">
        <v>1175</v>
      </c>
      <c r="N210" s="277" t="s">
        <v>1176</v>
      </c>
    </row>
    <row r="211" spans="3:14" ht="15.75">
      <c r="C211" s="1242" t="s">
        <v>1177</v>
      </c>
      <c r="D211" s="1259">
        <f>IF(D22="Ponta",B22,0)</f>
        <v>0</v>
      </c>
      <c r="E211" s="18"/>
      <c r="F211" s="270"/>
      <c r="G211" s="1249">
        <f>G196</f>
        <v>44440</v>
      </c>
      <c r="H211" s="272">
        <f>H196</f>
        <v>0</v>
      </c>
      <c r="I211" s="272">
        <f>I196</f>
        <v>0</v>
      </c>
      <c r="J211" s="1250">
        <f>SUMIFS($G$18:$G$60,$B$18:$B$60,$D$211,$D$18:$D$60,"Ponta")</f>
        <v>0</v>
      </c>
      <c r="K211" s="1250">
        <f>SUMIFS($G$18:$G$60,$B$18:$B$60,$D$211,$D$18:$D$60,"Fora Ponta")</f>
        <v>0</v>
      </c>
      <c r="L211" s="1250">
        <f>IF(MONTH(DataRevRea)=7,'Rede Básica + Ajuste'!J211,IF(G211&lt;$Q$69,(SUMIFS($G$18:$G$60,$B$18:$B$60,$D$211,$D$18:$D$60,"Ponta")),(SUMIFS($H$18:$H$60,$B$18:$B$60,$D$211,$D$18:$D$60,"Ponta"))))</f>
        <v>0</v>
      </c>
      <c r="M211" s="1250">
        <f>IF(MONTH(DataRevRea)=7,'Rede Básica + Ajuste'!K211,IF(G211&lt;$Q$69,(SUMIFS($G$18:$G$60,$B$18:$B$60,$D$211,$D$18:$D$60,"Fora Ponta")),(SUMIFS($H$18:$H$60,$B$18:$B$60,$D$211,$D$18:$D$60,"Fora Ponta"))))</f>
        <v>0</v>
      </c>
      <c r="N211" s="1251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2" t="s">
        <v>1178</v>
      </c>
      <c r="E213" s="1253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4" t="str">
        <f>C199</f>
        <v>Cobertura 2021</v>
      </c>
      <c r="D214" s="1255">
        <f>SUMPRODUCT(H211:H222,J211:J222)</f>
        <v>0</v>
      </c>
      <c r="E214" s="1255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4" t="s">
        <v>1180</v>
      </c>
      <c r="D215" s="1255">
        <f>SUMPRODUCT(H211:H222,L211:L222)</f>
        <v>0</v>
      </c>
      <c r="E215" s="1255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6">
        <f t="shared" si="45"/>
        <v>44774</v>
      </c>
      <c r="H222" s="1257">
        <f t="shared" si="45"/>
        <v>0</v>
      </c>
      <c r="I222" s="1257">
        <f t="shared" si="45"/>
        <v>0</v>
      </c>
      <c r="J222" s="1257">
        <f t="shared" si="46"/>
        <v>0</v>
      </c>
      <c r="K222" s="1257">
        <f t="shared" si="47"/>
        <v>0</v>
      </c>
      <c r="L222" s="1257">
        <f>IF(MONTH(DataRevRea)=7,'Rede Básica + Ajuste'!J222,IF(G222&lt;$Q$69,(SUMIFS($G$18:$G$60,$B$18:$B$60,$D$211,$D$18:$D$60,"Ponta")),(SUMIFS($H$18:$H$60,$B$18:$B$60,$D$211,$D$18:$D$60,"Ponta"))))</f>
        <v>0</v>
      </c>
      <c r="M222" s="1257">
        <f>IF(MONTH(DataRevRea)=7,'Rede Básica + Ajuste'!K222,IF(G222&lt;$Q$69,(SUMIFS($G$18:$G$60,$B$18:$B$60,$D$211,$D$18:$D$60,"Fora Ponta")),(SUMIFS($H$18:$H$60,$B$18:$B$60,$D$211,$D$18:$D$60,"Fora Ponta"))))</f>
        <v>0</v>
      </c>
      <c r="N222" s="1258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0" t="s">
        <v>638</v>
      </c>
      <c r="C1" s="1018"/>
      <c r="D1" s="931"/>
      <c r="E1" s="1226"/>
      <c r="F1" s="1226"/>
      <c r="G1" s="1128" t="s">
        <v>873</v>
      </c>
      <c r="H1" s="1129">
        <f ca="1">LnkTXTIRTEco</f>
        <v>-0.10630000000000001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Coopermila</v>
      </c>
      <c r="C2" s="70"/>
      <c r="D2" s="70"/>
      <c r="G2" s="120" t="s">
        <v>877</v>
      </c>
      <c r="H2" s="121">
        <f ca="1">LnkTXTIRTTotal</f>
        <v>-0.2195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0" t="s">
        <v>1188</v>
      </c>
      <c r="C5" s="1230" t="s">
        <v>1189</v>
      </c>
      <c r="D5" s="1230" t="s">
        <v>1190</v>
      </c>
      <c r="E5" s="1230" t="s">
        <v>1191</v>
      </c>
      <c r="F5" s="1230" t="s">
        <v>1192</v>
      </c>
      <c r="G5" s="1230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0" t="s">
        <v>760</v>
      </c>
      <c r="C11" s="1261">
        <f>SUM(C6:C10)</f>
        <v>0</v>
      </c>
      <c r="D11" s="1261">
        <f>SUM(D6:D10)</f>
        <v>0</v>
      </c>
      <c r="E11" s="1262">
        <f>SUM(E6:E10)</f>
        <v>0</v>
      </c>
      <c r="F11" s="1263"/>
      <c r="G11" s="1264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5" t="s">
        <v>1209</v>
      </c>
      <c r="E12" s="1265"/>
      <c r="F12" s="1266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0" t="s">
        <v>1188</v>
      </c>
      <c r="C15" s="1230" t="s">
        <v>1189</v>
      </c>
      <c r="D15" s="1230" t="s">
        <v>1215</v>
      </c>
      <c r="E15" s="1230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0" t="s">
        <v>760</v>
      </c>
      <c r="C21" s="1267">
        <f>SUM(C16:C20)</f>
        <v>0</v>
      </c>
      <c r="D21" s="1267">
        <f>SUM(D16:D20)</f>
        <v>0</v>
      </c>
      <c r="E21" s="1267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A13" zoomScale="115" zoomScaleNormal="115" workbookViewId="0">
      <selection activeCell="B21" sqref="B21:D24"/>
    </sheetView>
  </sheetViews>
  <sheetFormatPr defaultColWidth="9.140625" defaultRowHeight="14.25"/>
  <cols>
    <col min="1" max="1" width="3.28515625" style="68" customWidth="1"/>
    <col min="2" max="2" width="19.42578125" style="68" customWidth="1"/>
    <col min="3" max="3" width="18.7109375" style="68" bestFit="1" customWidth="1"/>
    <col min="4" max="4" width="19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0" t="s">
        <v>743</v>
      </c>
      <c r="C1" s="1225"/>
      <c r="D1" s="1225"/>
      <c r="E1" s="1225"/>
      <c r="F1" s="931"/>
      <c r="G1" s="931"/>
      <c r="H1" s="1128" t="s">
        <v>873</v>
      </c>
      <c r="I1" s="1129">
        <f ca="1">LnkTXTIRTEco</f>
        <v>-0.10630000000000001</v>
      </c>
      <c r="J1" s="193"/>
      <c r="K1" s="194"/>
    </row>
    <row r="2" spans="1:15" s="195" customFormat="1" ht="27" customHeight="1">
      <c r="B2" s="136" t="str">
        <f>CAPA!C9</f>
        <v>Coopermila</v>
      </c>
      <c r="C2" s="70"/>
      <c r="D2" s="70"/>
      <c r="E2" s="70"/>
      <c r="F2" s="70"/>
      <c r="G2" s="70"/>
      <c r="H2" s="120" t="s">
        <v>877</v>
      </c>
      <c r="I2" s="121">
        <f ca="1">LnkTXTIRTTotal</f>
        <v>-0.2195</v>
      </c>
    </row>
    <row r="3" spans="1:15">
      <c r="B3" s="934" t="s">
        <v>1240</v>
      </c>
      <c r="C3" s="784"/>
      <c r="E3" s="784" t="str">
        <f>"Encargos "&amp;YEAR(CAPA!C14)</f>
        <v>Encargos 2021</v>
      </c>
      <c r="F3" s="784"/>
      <c r="H3" s="784"/>
      <c r="I3" s="784"/>
      <c r="J3" s="784"/>
      <c r="K3" s="784"/>
      <c r="L3" s="784"/>
      <c r="M3" s="784"/>
      <c r="N3" s="784"/>
      <c r="O3" s="784"/>
    </row>
    <row r="4" spans="1:15">
      <c r="E4" s="1230" t="s">
        <v>72</v>
      </c>
      <c r="F4" s="1230" t="s">
        <v>1241</v>
      </c>
      <c r="H4" s="72"/>
      <c r="I4" s="72"/>
    </row>
    <row r="5" spans="1:15">
      <c r="B5" s="1230" t="s">
        <v>72</v>
      </c>
      <c r="C5" s="1230" t="s">
        <v>37</v>
      </c>
      <c r="E5" s="68" t="s">
        <v>40</v>
      </c>
      <c r="F5" s="115">
        <f>CAPA!D42</f>
        <v>11680.891981180501</v>
      </c>
      <c r="H5" s="1844" t="s">
        <v>1242</v>
      </c>
      <c r="I5" s="1844"/>
      <c r="K5" s="1844" t="s">
        <v>1243</v>
      </c>
      <c r="L5" s="1844"/>
      <c r="N5" s="1844" t="s">
        <v>1244</v>
      </c>
      <c r="O5" s="1844"/>
    </row>
    <row r="6" spans="1:15">
      <c r="B6" s="68" t="s">
        <v>40</v>
      </c>
      <c r="C6" s="80">
        <f ca="1">L14</f>
        <v>12857.088096908077</v>
      </c>
      <c r="E6" s="68" t="s">
        <v>41</v>
      </c>
      <c r="F6" s="115">
        <f>CAPA!D43</f>
        <v>902485.07053999999</v>
      </c>
      <c r="H6" s="199" t="s">
        <v>1245</v>
      </c>
      <c r="I6" s="200">
        <f ca="1">FornecimentoE+LivreE-Calc_Mercado!C16</f>
        <v>17996.344000000005</v>
      </c>
      <c r="K6" s="505" t="s">
        <v>745</v>
      </c>
      <c r="L6" s="411">
        <f ca="1">LnkTXTER</f>
        <v>18985.092507623318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1447102.0752100002</v>
      </c>
      <c r="D7" s="196"/>
      <c r="E7" s="68" t="s">
        <v>112</v>
      </c>
      <c r="F7" s="115">
        <f>CAPA!D44</f>
        <v>0</v>
      </c>
      <c r="H7" s="1275" t="s">
        <v>1247</v>
      </c>
      <c r="I7" s="1276">
        <v>14.13</v>
      </c>
      <c r="K7" s="505" t="s">
        <v>1088</v>
      </c>
      <c r="L7" s="411">
        <f ca="1">Energia!M7</f>
        <v>0</v>
      </c>
      <c r="N7" s="201" t="s">
        <v>1248</v>
      </c>
      <c r="O7" s="202">
        <f ca="1">SUM(C12+C6+C9+C10+C8)</f>
        <v>553515.54881690815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5" t="s">
        <v>1091</v>
      </c>
      <c r="L8" s="411">
        <f ca="1">LnkTXTPerdas</f>
        <v>974.15950762331363</v>
      </c>
      <c r="N8" s="201" t="s">
        <v>717</v>
      </c>
      <c r="O8" s="264">
        <f>Resultado!D24</f>
        <v>1881904.5259199997</v>
      </c>
    </row>
    <row r="9" spans="1:15">
      <c r="B9" s="68" t="s">
        <v>1249</v>
      </c>
      <c r="C9" s="807">
        <f>D24</f>
        <v>286370.12</v>
      </c>
      <c r="D9" s="69"/>
      <c r="E9" s="68" t="s">
        <v>47</v>
      </c>
      <c r="F9" s="115">
        <f>CAPA!D46</f>
        <v>150736.63787999999</v>
      </c>
      <c r="H9" s="1844" t="s">
        <v>1250</v>
      </c>
      <c r="I9" s="1844"/>
      <c r="K9" s="505" t="s">
        <v>1251</v>
      </c>
      <c r="L9" s="411">
        <f ca="1">SUM(L6:L7,-L8)</f>
        <v>18010.933000000005</v>
      </c>
      <c r="N9" s="201" t="s">
        <v>108</v>
      </c>
      <c r="O9" s="263">
        <f ca="1">Resultado!D33</f>
        <v>3622798.7063669376</v>
      </c>
    </row>
    <row r="10" spans="1:15">
      <c r="B10" s="68" t="s">
        <v>47</v>
      </c>
      <c r="C10" s="80">
        <f ca="1">IFERROR(Encargos!I7*I6,0)</f>
        <v>254288.34072000007</v>
      </c>
      <c r="D10" s="196"/>
      <c r="E10" s="68" t="s">
        <v>49</v>
      </c>
      <c r="F10" s="115">
        <f>CAPA!D48</f>
        <v>0</v>
      </c>
      <c r="H10" s="1277" t="s">
        <v>1252</v>
      </c>
      <c r="I10" s="1278">
        <f ca="1">FornecimentoE_A1+Calc_Mercado!C10+Calc_Mercado!C11+Calc_Mercado!C114+Calc_Mercado!C115</f>
        <v>0</v>
      </c>
      <c r="K10" s="505" t="s">
        <v>1253</v>
      </c>
      <c r="L10" s="411">
        <f ca="1">SUM(L6:L7)</f>
        <v>18985.092507623318</v>
      </c>
      <c r="N10" s="201" t="s">
        <v>1254</v>
      </c>
      <c r="O10" s="202">
        <f>Resultado!D39</f>
        <v>2890068.7</v>
      </c>
    </row>
    <row r="11" spans="1:15">
      <c r="B11" s="68" t="s">
        <v>1255</v>
      </c>
      <c r="C11" s="80">
        <v>1E-4</v>
      </c>
      <c r="D11" s="196"/>
      <c r="E11" s="784" t="s">
        <v>2035</v>
      </c>
      <c r="F11" s="1150">
        <f>CAPA!D47</f>
        <v>0</v>
      </c>
      <c r="H11" s="199" t="s">
        <v>1256</v>
      </c>
      <c r="I11" s="139">
        <f ca="1">Calc_Mercado!C12+Calc_Mercado!C13+Calc_Mercado!C14+Calc_Mercado!C116+Calc_Mercado!C117</f>
        <v>11257.611000000003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8.9482874811038455E-8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4" t="str">
        <f>"Encargos "&amp;YEAR(CAPA!C14)-1</f>
        <v>Encargos 2020</v>
      </c>
      <c r="F12" s="784"/>
      <c r="H12" s="199" t="s">
        <v>1259</v>
      </c>
      <c r="I12" s="139">
        <f ca="1">FornecimentoE_BT-Calc_Mercado!C16+Calc_Mercado!C119+Calc_Mercado!C118</f>
        <v>6738.7330000000002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-1316981.5027450165</v>
      </c>
    </row>
    <row r="13" spans="1:15">
      <c r="B13" s="1279" t="s">
        <v>769</v>
      </c>
      <c r="C13" s="1280">
        <f ca="1">SUM(C6:C12)</f>
        <v>2000617.6241269084</v>
      </c>
      <c r="D13" s="196"/>
      <c r="E13" s="1230" t="s">
        <v>72</v>
      </c>
      <c r="F13" s="1230" t="s">
        <v>1241</v>
      </c>
      <c r="H13" s="1281" t="s">
        <v>1262</v>
      </c>
      <c r="I13" s="1282">
        <v>23.38</v>
      </c>
      <c r="K13" s="1283" t="s">
        <v>1263</v>
      </c>
      <c r="L13" s="1284">
        <f ca="1">LnkTXTIParcelaBcomSub+Energia!F19</f>
        <v>2890068.7</v>
      </c>
      <c r="N13" s="1285" t="s">
        <v>1264</v>
      </c>
      <c r="O13" s="1286">
        <f ca="1">O12*O6+O11</f>
        <v>7.6313059783588292E-8</v>
      </c>
    </row>
    <row r="14" spans="1:15">
      <c r="E14" s="68" t="s">
        <v>40</v>
      </c>
      <c r="F14" s="1287">
        <f>BD!C37</f>
        <v>10966.148723077707</v>
      </c>
      <c r="H14" s="257" t="s">
        <v>1265</v>
      </c>
      <c r="I14" s="814">
        <v>31.67</v>
      </c>
      <c r="K14" s="1288" t="s">
        <v>40</v>
      </c>
      <c r="L14" s="1289">
        <f ca="1">L12*1/L11*L9/L10*L13</f>
        <v>12857.088096908077</v>
      </c>
    </row>
    <row r="15" spans="1:15">
      <c r="E15" s="68" t="s">
        <v>41</v>
      </c>
      <c r="F15" s="80">
        <f>BD!C35</f>
        <v>1011977.0763000001</v>
      </c>
      <c r="H15" s="1290" t="s">
        <v>1266</v>
      </c>
      <c r="I15" s="1291">
        <v>37.700000000000003</v>
      </c>
    </row>
    <row r="16" spans="1:15">
      <c r="E16" s="68" t="s">
        <v>112</v>
      </c>
      <c r="F16" s="80">
        <v>0</v>
      </c>
      <c r="H16" s="1184" t="s">
        <v>1267</v>
      </c>
      <c r="I16" s="1282">
        <v>55.4</v>
      </c>
      <c r="K16" s="1844" t="s">
        <v>768</v>
      </c>
      <c r="L16" s="1844"/>
    </row>
    <row r="17" spans="2:14">
      <c r="E17" s="68" t="s">
        <v>768</v>
      </c>
      <c r="F17" s="80">
        <v>0</v>
      </c>
      <c r="H17" s="68" t="s">
        <v>1268</v>
      </c>
      <c r="I17" s="814">
        <v>75.06</v>
      </c>
      <c r="K17" s="1277" t="s">
        <v>2053</v>
      </c>
      <c r="L17" s="1278">
        <f>D22</f>
        <v>4363.68</v>
      </c>
    </row>
    <row r="18" spans="2:14">
      <c r="E18" s="68" t="s">
        <v>47</v>
      </c>
      <c r="F18" s="80">
        <f>BD!C36</f>
        <v>141055.25107999999</v>
      </c>
      <c r="G18" s="107"/>
      <c r="H18" s="784" t="s">
        <v>1269</v>
      </c>
      <c r="I18" s="1291">
        <v>89.35</v>
      </c>
      <c r="K18" s="199" t="s">
        <v>2056</v>
      </c>
      <c r="L18" s="139">
        <f>D23</f>
        <v>282006.44</v>
      </c>
    </row>
    <row r="19" spans="2:14">
      <c r="E19" s="784" t="s">
        <v>49</v>
      </c>
      <c r="F19" s="1292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1447102.0752100002</v>
      </c>
      <c r="K19" s="1230" t="s">
        <v>769</v>
      </c>
      <c r="L19" s="1452">
        <f>SUM(L17:L18)</f>
        <v>286370.12</v>
      </c>
    </row>
    <row r="20" spans="2:14">
      <c r="F20" s="80"/>
      <c r="G20" s="107"/>
      <c r="H20" s="1293" t="s">
        <v>1271</v>
      </c>
      <c r="I20" s="1294">
        <f>IFERROR(VLOOKUP("CDE Covid",TabEncargosBancoConsolidados[],2,FALSE),0)</f>
        <v>0</v>
      </c>
    </row>
    <row r="21" spans="2:14">
      <c r="B21" s="1778" t="s">
        <v>2390</v>
      </c>
      <c r="C21" s="1778" t="s">
        <v>2391</v>
      </c>
      <c r="D21" s="1778" t="s">
        <v>2392</v>
      </c>
      <c r="F21" s="80"/>
      <c r="G21" s="107"/>
      <c r="H21" s="68" t="s">
        <v>2054</v>
      </c>
      <c r="I21" s="69">
        <f>IFERROR(VLOOKUP("CDE Eletrobras",TabEncargosBancoConsolidados[],2,FALSE),0)</f>
        <v>0</v>
      </c>
    </row>
    <row r="22" spans="2:14">
      <c r="B22" s="1311" t="s">
        <v>111</v>
      </c>
      <c r="C22" s="1172">
        <v>6545.53</v>
      </c>
      <c r="D22" s="1779">
        <v>4363.68</v>
      </c>
      <c r="F22" s="80"/>
      <c r="G22" s="107"/>
      <c r="H22" s="1230" t="s">
        <v>2057</v>
      </c>
      <c r="I22" s="1452">
        <f ca="1">I19+I20+I21</f>
        <v>1447102.0752100002</v>
      </c>
    </row>
    <row r="23" spans="2:14">
      <c r="B23" s="1311" t="s">
        <v>2318</v>
      </c>
      <c r="C23" s="1172">
        <v>423009.66</v>
      </c>
      <c r="D23" s="1779">
        <v>282006.44</v>
      </c>
      <c r="F23" s="80"/>
      <c r="G23" s="107"/>
    </row>
    <row r="24" spans="2:14">
      <c r="B24" s="1841" t="s">
        <v>760</v>
      </c>
      <c r="C24" s="1842"/>
      <c r="D24" s="1780">
        <f>D22+D23</f>
        <v>286370.12</v>
      </c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4" t="s">
        <v>1272</v>
      </c>
      <c r="C27" s="784"/>
      <c r="D27" s="784"/>
      <c r="E27" s="784"/>
      <c r="F27" s="784"/>
      <c r="G27" s="784"/>
      <c r="J27" s="784"/>
      <c r="K27" s="784"/>
      <c r="L27" s="784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0" t="s">
        <v>2081</v>
      </c>
      <c r="D30" s="1230" t="s">
        <v>46</v>
      </c>
      <c r="E30" s="1230" t="s">
        <v>40</v>
      </c>
      <c r="F30" s="1230" t="s">
        <v>41</v>
      </c>
      <c r="G30" s="1230" t="s">
        <v>47</v>
      </c>
      <c r="H30" s="1458" t="s">
        <v>2082</v>
      </c>
      <c r="I30" s="1458" t="s">
        <v>2090</v>
      </c>
      <c r="J30" s="1230" t="s">
        <v>1274</v>
      </c>
      <c r="L30" s="1843" t="s">
        <v>1275</v>
      </c>
      <c r="M30" s="1843"/>
      <c r="N30" s="268"/>
    </row>
    <row r="31" spans="2:14">
      <c r="B31" s="267">
        <f>Indexador!B68</f>
        <v>44440</v>
      </c>
      <c r="C31" s="1141">
        <f ca="1">IFERROR(IF(CAPA!$C$113="Não",C47-C62,IF(Indexador!$B68&lt;CAPA!$C$114,0,C47-C62)),0)</f>
        <v>0</v>
      </c>
      <c r="D31" s="1141">
        <f ca="1">IF(CAPA!$C$113="Não",D47-D62,IF(Indexador!$B68&lt;CAPA!$C$114,0,D47-D62))</f>
        <v>0</v>
      </c>
      <c r="E31" s="1141">
        <f ca="1">IF(CAPA!$C$113="Não",E47-E62,IF(Indexador!$B68&lt;CAPA!$C$114,0,E47-E62))</f>
        <v>-24.442667884484308</v>
      </c>
      <c r="F31" s="1141">
        <f ca="1">IF(CAPA!$C$113="Não",F47-F62,IF(Indexador!$B68&lt;CAPA!$C$114,0,F47-F62))</f>
        <v>-3017.0064895172836</v>
      </c>
      <c r="G31" s="1141">
        <f ca="1">IF(CAPA!$C$113="Não",G47-G62,IF(Indexador!$B68&lt;CAPA!$C$114,0,G47-G62))</f>
        <v>-607.82800857336588</v>
      </c>
      <c r="H31" s="1141">
        <f ca="1">IF(CAPA!$C$113="Não",H47-H62,IF(Indexador!$B68&lt;CAPA!$C$114,0,H47-H62))</f>
        <v>0</v>
      </c>
      <c r="I31" s="1141">
        <f ca="1">IF(CAPA!$C$113="Não",I47-I62,IF(Indexador!$B68&lt;CAPA!$C$114,0,I47-I62))</f>
        <v>0</v>
      </c>
      <c r="J31" s="1141">
        <f ca="1">IF(CAPA!$C$113="Não",J47-J62,IF(Indexador!$B68&lt;CAPA!$C$114,0,J47-J62))</f>
        <v>-3649.2771659751161</v>
      </c>
      <c r="L31" s="68" t="s">
        <v>40</v>
      </c>
      <c r="M31" s="115">
        <f ca="1">Indexador!H80</f>
        <v>-1049.8958455291686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-37.53576810921561</v>
      </c>
      <c r="F32" s="115">
        <f ca="1">IF(CAPA!$C$113="Não",F48-F63,IF(Indexador!$B69&lt;CAPA!$C$114,0,F48-F63))</f>
        <v>-4029.0659558436455</v>
      </c>
      <c r="G32" s="115">
        <f ca="1">IF(CAPA!$C$113="Não",G48-G63,IF(Indexador!$B69&lt;CAPA!$C$114,0,G48-G63))</f>
        <v>-776.76636671466622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-4843.3680906675145</v>
      </c>
      <c r="L32" s="68" t="s">
        <v>41</v>
      </c>
      <c r="M32" s="115">
        <f ca="1">Indexador!J80+Indexador!L80</f>
        <v>-95422.930034866673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-148.73748426623558</v>
      </c>
      <c r="F33" s="115">
        <f ca="1">IF(CAPA!$C$113="Não",F49-F64,IF(Indexador!$B70&lt;CAPA!$C$114,0,F49-F64))</f>
        <v>-11968.316360763725</v>
      </c>
      <c r="G33" s="115">
        <f ca="1">IF(CAPA!$C$113="Não",G49-G64,IF(Indexador!$B70&lt;CAPA!$C$114,0,G49-G64))</f>
        <v>-2044.0851793965776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-14161.139024426535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-96.566882780583796</v>
      </c>
      <c r="F34" s="115">
        <f ca="1">IF(CAPA!$C$113="Não",F50-F65,IF(Indexador!$B71&lt;CAPA!$C$114,0,F50-F65))</f>
        <v>-8467.7693214158789</v>
      </c>
      <c r="G34" s="115">
        <f ca="1">IF(CAPA!$C$113="Não",G50-G65,IF(Indexador!$B71&lt;CAPA!$C$114,0,G50-G65))</f>
        <v>-1508.2672084535207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-10072.603412649973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-187.6002424523839</v>
      </c>
      <c r="F35" s="115">
        <f ca="1">IF(CAPA!$C$113="Não",F51-F66,IF(Indexador!$B72&lt;CAPA!$C$114,0,F51-F66))</f>
        <v>-14886.470604316783</v>
      </c>
      <c r="G35" s="115">
        <f ca="1">IF(CAPA!$C$113="Não",G51-G66,IF(Indexador!$B72&lt;CAPA!$C$114,0,G51-G66))</f>
        <v>-2524.5446329932965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-17598.615479762448</v>
      </c>
      <c r="L35" s="68" t="s">
        <v>47</v>
      </c>
      <c r="M35" s="115">
        <f ca="1">Indexador!N80</f>
        <v>-17322.630753886519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1.0047920942917017</v>
      </c>
      <c r="F36" s="115">
        <f ca="1">IF(CAPA!$C$113="Não",F52-F67,IF(Indexador!$B73&lt;CAPA!$C$114,0,F52-F67))</f>
        <v>-204.79529362668109</v>
      </c>
      <c r="G36" s="115">
        <f ca="1">IF(CAPA!$C$113="Não",G52-G67,IF(Indexador!$B73&lt;CAPA!$C$114,0,G52-G67))</f>
        <v>-67.402372293165172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-271.19287382555194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-121.08679082761444</v>
      </c>
      <c r="F37" s="115">
        <f ca="1">IF(CAPA!$C$113="Não",F53-F68,IF(Indexador!$B74&lt;CAPA!$C$114,0,F53-F68))</f>
        <v>-10794.308711446662</v>
      </c>
      <c r="G37" s="115">
        <f ca="1">IF(CAPA!$C$113="Não",G53-G68,IF(Indexador!$B74&lt;CAPA!$C$114,0,G53-G68))</f>
        <v>-1944.6178950338744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-12860.013397308139</v>
      </c>
      <c r="L37" s="784" t="s">
        <v>48</v>
      </c>
      <c r="M37" s="1181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-54.141044674069349</v>
      </c>
      <c r="F38" s="115">
        <f ca="1">IF(CAPA!$C$113="Não",F54-F69,IF(Indexador!$B75&lt;CAPA!$C$114,0,F54-F69))</f>
        <v>-5692.6663766096754</v>
      </c>
      <c r="G38" s="115">
        <f ca="1">IF(CAPA!$C$113="Não",G54-G69,IF(Indexador!$B75&lt;CAPA!$C$114,0,G54-G69))</f>
        <v>-1097.7501842718812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-6844.5576055556157</v>
      </c>
      <c r="L38" s="71" t="s">
        <v>760</v>
      </c>
      <c r="M38" s="269">
        <f ca="1">SUM(M31:M36)</f>
        <v>-113795.45663428237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-103.71703108410441</v>
      </c>
      <c r="F39" s="115">
        <f ca="1">IF(CAPA!$C$113="Não",F55-F70,IF(Indexador!$B76&lt;CAPA!$C$114,0,F55-F70))</f>
        <v>-9758.3052314189117</v>
      </c>
      <c r="G39" s="115">
        <f ca="1">IF(CAPA!$C$113="Não",G55-G70,IF(Indexador!$B76&lt;CAPA!$C$114,0,G55-G70))</f>
        <v>-1799.0317883063817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-11661.054050809384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-52.575779833900356</v>
      </c>
      <c r="F40" s="115">
        <f ca="1">IF(CAPA!$C$113="Não",F56-F71,IF(Indexador!$B77&lt;CAPA!$C$114,0,F56-F71))</f>
        <v>-5572.8941821111803</v>
      </c>
      <c r="G40" s="115">
        <f ca="1">IF(CAPA!$C$113="Não",G56-G71,IF(Indexador!$B77&lt;CAPA!$C$114,0,G56-G71))</f>
        <v>-1081.0137793661543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-6706.48374131124</v>
      </c>
      <c r="L40" s="1843" t="s">
        <v>2089</v>
      </c>
      <c r="M40" s="1843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-81.036303092787307</v>
      </c>
      <c r="F41" s="115">
        <f ca="1">IF(CAPA!$C$113="Não",F57-F72,IF(Indexador!$B78&lt;CAPA!$C$114,0,F57-F72))</f>
        <v>-8002.6963740423234</v>
      </c>
      <c r="G41" s="115">
        <f ca="1">IF(CAPA!$C$113="Não",G57-G72,IF(Indexador!$B78&lt;CAPA!$C$114,0,G57-G72))</f>
        <v>-1505.4859290716504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-9589.2186062067485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0">
        <f ca="1">IFERROR(IF(CAPA!$C$113="Não",C58-C73,IF(Indexador!$B79&lt;CAPA!$C$114,0,C58-C73)),0)</f>
        <v>0</v>
      </c>
      <c r="D42" s="1150">
        <f ca="1">IF(CAPA!$C$113="Não",D58-D73,IF(Indexador!$B79&lt;CAPA!$C$114,0,D58-D73))</f>
        <v>0</v>
      </c>
      <c r="E42" s="1150">
        <f ca="1">IF(CAPA!$C$113="Não",E58-E73,IF(Indexador!$B79&lt;CAPA!$C$114,0,E58-E73))</f>
        <v>-113.52797151674793</v>
      </c>
      <c r="F42" s="1150">
        <f ca="1">IF(CAPA!$C$113="Não",F58-F73,IF(Indexador!$B79&lt;CAPA!$C$114,0,F58-F73))</f>
        <v>-10394.062920447846</v>
      </c>
      <c r="G42" s="1150">
        <f ca="1">IF(CAPA!$C$113="Não",G58-G73,IF(Indexador!$B79&lt;CAPA!$C$114,0,G58-G73))</f>
        <v>-1895.4741502146771</v>
      </c>
      <c r="H42" s="1150">
        <f ca="1">IF(CAPA!$C$113="Não",H58-H73,IF(Indexador!$B79&lt;CAPA!$C$114,0,H58-H73))</f>
        <v>0</v>
      </c>
      <c r="I42" s="1150">
        <f ca="1">IF(CAPA!$C$113="Não",I58-I73,IF(Indexador!$B79&lt;CAPA!$C$114,0,I58-I73))</f>
        <v>0</v>
      </c>
      <c r="J42" s="1150">
        <f ca="1">IF(CAPA!$C$113="Não",J58-J73,IF(Indexador!$B79&lt;CAPA!$C$114,0,J58-J73))</f>
        <v>-12403.065042179252</v>
      </c>
      <c r="L42" s="784" t="str">
        <f>I30</f>
        <v>Crédito Pis Cofins</v>
      </c>
      <c r="M42" s="1181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0" t="s">
        <v>2081</v>
      </c>
      <c r="D46" s="1230" t="s">
        <v>46</v>
      </c>
      <c r="E46" s="1230" t="s">
        <v>40</v>
      </c>
      <c r="F46" s="1230" t="s">
        <v>41</v>
      </c>
      <c r="G46" s="1230" t="s">
        <v>47</v>
      </c>
      <c r="H46" s="1458" t="s">
        <v>2082</v>
      </c>
      <c r="I46" s="1458" t="s">
        <v>2086</v>
      </c>
      <c r="J46" s="1230" t="s">
        <v>1276</v>
      </c>
      <c r="K46" s="140"/>
    </row>
    <row r="47" spans="2:14">
      <c r="B47" s="267">
        <f>Indexador!B37</f>
        <v>44440</v>
      </c>
      <c r="C47" s="1445">
        <f>$F$11/12</f>
        <v>0</v>
      </c>
      <c r="D47" s="1295">
        <f>$F$8/12</f>
        <v>0</v>
      </c>
      <c r="E47" s="1141">
        <f t="shared" ref="E47:E58" si="0">$F$5/12</f>
        <v>973.40766509837511</v>
      </c>
      <c r="F47" s="115">
        <f t="shared" ref="F47:F58" si="1">$F$6/12</f>
        <v>75207.089211666666</v>
      </c>
      <c r="G47" s="115">
        <f t="shared" ref="G47:G58" si="2">$F$9/12</f>
        <v>12561.386489999999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6">
        <f>SUM(C47:G47)</f>
        <v>88741.883366765047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973.40766509837511</v>
      </c>
      <c r="F48" s="115">
        <f t="shared" si="1"/>
        <v>75207.089211666666</v>
      </c>
      <c r="G48" s="115">
        <f t="shared" si="2"/>
        <v>12561.386489999999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88741.883366765047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973.40766509837511</v>
      </c>
      <c r="F49" s="115">
        <f t="shared" si="1"/>
        <v>75207.089211666666</v>
      </c>
      <c r="G49" s="115">
        <f t="shared" si="2"/>
        <v>12561.386489999999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88741.883366765047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973.40766509837511</v>
      </c>
      <c r="F50" s="115">
        <f t="shared" si="1"/>
        <v>75207.089211666666</v>
      </c>
      <c r="G50" s="115">
        <f t="shared" si="2"/>
        <v>12561.386489999999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88741.883366765047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973.40766509837511</v>
      </c>
      <c r="F51" s="115">
        <f t="shared" si="1"/>
        <v>75207.089211666666</v>
      </c>
      <c r="G51" s="115">
        <f t="shared" si="2"/>
        <v>12561.386489999999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88741.883366765047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973.40766509837511</v>
      </c>
      <c r="F52" s="115">
        <f t="shared" si="1"/>
        <v>75207.089211666666</v>
      </c>
      <c r="G52" s="115">
        <f t="shared" si="2"/>
        <v>12561.386489999999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88741.883366765047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973.40766509837511</v>
      </c>
      <c r="F53" s="115">
        <f t="shared" si="1"/>
        <v>75207.089211666666</v>
      </c>
      <c r="G53" s="115">
        <f t="shared" si="2"/>
        <v>12561.386489999999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88741.883366765047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973.40766509837511</v>
      </c>
      <c r="F54" s="115">
        <f t="shared" si="1"/>
        <v>75207.089211666666</v>
      </c>
      <c r="G54" s="115">
        <f t="shared" si="2"/>
        <v>12561.386489999999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88741.883366765047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973.40766509837511</v>
      </c>
      <c r="F55" s="115">
        <f t="shared" si="1"/>
        <v>75207.089211666666</v>
      </c>
      <c r="G55" s="115">
        <f t="shared" si="2"/>
        <v>12561.386489999999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88741.883366765047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973.40766509837511</v>
      </c>
      <c r="F56" s="115">
        <f t="shared" si="1"/>
        <v>75207.089211666666</v>
      </c>
      <c r="G56" s="115">
        <f t="shared" si="2"/>
        <v>12561.386489999999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88741.883366765047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973.40766509837511</v>
      </c>
      <c r="F57" s="115">
        <f t="shared" si="1"/>
        <v>75207.089211666666</v>
      </c>
      <c r="G57" s="115">
        <f t="shared" si="2"/>
        <v>12561.386489999999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88741.883366765047</v>
      </c>
    </row>
    <row r="58" spans="2:12">
      <c r="B58" s="267">
        <f>Indexador!B48</f>
        <v>44774</v>
      </c>
      <c r="C58" s="1150">
        <f t="shared" si="3"/>
        <v>0</v>
      </c>
      <c r="D58" s="1297">
        <f t="shared" si="4"/>
        <v>0</v>
      </c>
      <c r="E58" s="1150">
        <f t="shared" si="0"/>
        <v>973.40766509837511</v>
      </c>
      <c r="F58" s="1150">
        <f t="shared" si="1"/>
        <v>75207.089211666666</v>
      </c>
      <c r="G58" s="1150">
        <f t="shared" si="2"/>
        <v>12561.386489999999</v>
      </c>
      <c r="H58" s="1150">
        <f>IFERROR((VLOOKUP("Parcela B",TabFinanCovid[],4,FALSE)/12),0)</f>
        <v>0</v>
      </c>
      <c r="I58" s="1150">
        <f>IFERROR(VLOOKUP("Créditos de Pis/Cofins",TabFinanNeutralidade[[#All],[Detalhe_Grupo_TARIFA]:[valor]],2,FALSE)/12,0)</f>
        <v>0</v>
      </c>
      <c r="J58" s="1298">
        <f t="shared" si="5"/>
        <v>88741.883366765047</v>
      </c>
    </row>
    <row r="60" spans="2:12">
      <c r="C60" s="68" t="s">
        <v>1277</v>
      </c>
      <c r="L60" s="196">
        <v>42491</v>
      </c>
    </row>
    <row r="61" spans="2:12" ht="28.5">
      <c r="C61" s="1446" t="s">
        <v>2081</v>
      </c>
      <c r="D61" s="1230" t="s">
        <v>46</v>
      </c>
      <c r="E61" s="1230" t="s">
        <v>40</v>
      </c>
      <c r="F61" s="1230" t="s">
        <v>41</v>
      </c>
      <c r="G61" s="1230" t="s">
        <v>47</v>
      </c>
      <c r="H61" s="1458" t="s">
        <v>2082</v>
      </c>
      <c r="I61" s="1458" t="s">
        <v>2084</v>
      </c>
      <c r="J61" s="1230" t="s">
        <v>1276</v>
      </c>
      <c r="L61" s="1230" t="s">
        <v>48</v>
      </c>
    </row>
    <row r="62" spans="2:12">
      <c r="B62" s="267">
        <f t="shared" ref="B62:B73" si="6">B47</f>
        <v>44440</v>
      </c>
      <c r="C62" s="1299">
        <f ca="1">Calc_Mercado!S63</f>
        <v>0</v>
      </c>
      <c r="D62" s="1299">
        <f ca="1">Calc_Mercado!F63</f>
        <v>0</v>
      </c>
      <c r="E62" s="1141">
        <f ca="1">Calc_Mercado!I63</f>
        <v>997.85033298285941</v>
      </c>
      <c r="F62" s="1287">
        <f ca="1">Calc_Mercado!H63</f>
        <v>78224.095701183949</v>
      </c>
      <c r="G62" s="1287">
        <f ca="1">Calc_Mercado!G63</f>
        <v>13169.214498573365</v>
      </c>
      <c r="H62" s="1459">
        <f ca="1">IFERROR((VLOOKUP("Parcela B",TabFinanCovid[],4,FALSE)/VLOOKUP("Parcela B",TabFinanNeutralidade[],3,FALSE))*Calc_Mercado!T63,0)</f>
        <v>0</v>
      </c>
      <c r="I62" s="1459">
        <f ca="1">Calc_Mercado!U63</f>
        <v>0</v>
      </c>
      <c r="J62" s="1296">
        <f t="shared" ref="J62:J73" ca="1" si="7">SUM(C62:G62)</f>
        <v>92391.160532740163</v>
      </c>
      <c r="L62" s="1299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1010.9434332075907</v>
      </c>
      <c r="F63" s="80">
        <f ca="1">Calc_Mercado!H64</f>
        <v>79236.155167510311</v>
      </c>
      <c r="G63" s="80">
        <f ca="1">Calc_Mercado!G64</f>
        <v>13338.152856714665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93585.251457432561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1122.1451493646107</v>
      </c>
      <c r="F64" s="80">
        <f ca="1">Calc_Mercado!H65</f>
        <v>87175.405572430391</v>
      </c>
      <c r="G64" s="80">
        <f ca="1">Calc_Mercado!G65</f>
        <v>14605.471669396577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102903.02239119158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1069.9745478789589</v>
      </c>
      <c r="F65" s="80">
        <f ca="1">Calc_Mercado!H66</f>
        <v>83674.858533082544</v>
      </c>
      <c r="G65" s="80">
        <f ca="1">Calc_Mercado!G66</f>
        <v>14069.65369845352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98814.48677941502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1161.007907550759</v>
      </c>
      <c r="F66" s="80">
        <f ca="1">Calc_Mercado!H67</f>
        <v>90093.559815983448</v>
      </c>
      <c r="G66" s="80">
        <f ca="1">Calc_Mercado!G67</f>
        <v>15085.931122993296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106340.49884652749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972.4028730040834</v>
      </c>
      <c r="F67" s="80">
        <f ca="1">Calc_Mercado!H68</f>
        <v>75411.884505293347</v>
      </c>
      <c r="G67" s="80">
        <f ca="1">Calc_Mercado!G68</f>
        <v>12628.788862293164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89013.076240590599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1094.4944559259895</v>
      </c>
      <c r="F68" s="80">
        <f ca="1">Calc_Mercado!H69</f>
        <v>86001.397923113327</v>
      </c>
      <c r="G68" s="80">
        <f ca="1">Calc_Mercado!G69</f>
        <v>14506.004385033873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101601.89676407319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1027.5487097724445</v>
      </c>
      <c r="F69" s="80">
        <f ca="1">Calc_Mercado!H70</f>
        <v>80899.755588276341</v>
      </c>
      <c r="G69" s="80">
        <f ca="1">Calc_Mercado!G70</f>
        <v>13659.13667427188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95586.440972320663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1077.1246961824795</v>
      </c>
      <c r="F70" s="80">
        <f ca="1">Calc_Mercado!H71</f>
        <v>84965.394443085577</v>
      </c>
      <c r="G70" s="80">
        <f ca="1">Calc_Mercado!G71</f>
        <v>14360.418278306381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100402.93741757443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1025.9834449322755</v>
      </c>
      <c r="F71" s="80">
        <f ca="1">Calc_Mercado!H72</f>
        <v>80779.983393777846</v>
      </c>
      <c r="G71" s="80">
        <f ca="1">Calc_Mercado!G72</f>
        <v>13642.400269366153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95448.367108076287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1054.4439681911624</v>
      </c>
      <c r="F72" s="80">
        <f ca="1">Calc_Mercado!H73</f>
        <v>83209.785585708989</v>
      </c>
      <c r="G72" s="80">
        <f ca="1">Calc_Mercado!G73</f>
        <v>14066.872419071649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98331.101972971795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0">
        <f ca="1">Calc_Mercado!S74</f>
        <v>0</v>
      </c>
      <c r="D73" s="1300">
        <f ca="1">Calc_Mercado!F74</f>
        <v>0</v>
      </c>
      <c r="E73" s="1150">
        <f ca="1">Calc_Mercado!I74</f>
        <v>1086.935636615123</v>
      </c>
      <c r="F73" s="1292">
        <f ca="1">Calc_Mercado!H74</f>
        <v>85601.152132114512</v>
      </c>
      <c r="G73" s="1292">
        <f ca="1">Calc_Mercado!G74</f>
        <v>14456.860640214676</v>
      </c>
      <c r="H73" s="1292">
        <f ca="1">IFERROR((VLOOKUP("Parcela B",TabFinanCovid[],4,FALSE)/VLOOKUP("Parcela B",TabFinanNeutralidade[],3,FALSE))*Calc_Mercado!T74,0)</f>
        <v>0</v>
      </c>
      <c r="I73" s="1292">
        <f ca="1">Calc_Mercado!U74</f>
        <v>0</v>
      </c>
      <c r="J73" s="1298">
        <f t="shared" ca="1" si="7"/>
        <v>101144.9484089443</v>
      </c>
      <c r="L73" s="1300">
        <f ca="1">IF(B73&lt;$L$60,0,Calc_Mercado!D74)</f>
        <v>0</v>
      </c>
    </row>
  </sheetData>
  <mergeCells count="8">
    <mergeCell ref="B24:C24"/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abSelected="1" topLeftCell="AQ211" zoomScale="88" zoomScaleNormal="88" workbookViewId="0">
      <selection activeCell="AW226" sqref="AW226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305.31942806532561</v>
      </c>
      <c r="AE6" s="23">
        <f>SMALL(Q41:Q42,1)</f>
        <v>373.36317328466555</v>
      </c>
    </row>
    <row r="7" spans="2:49" ht="18.75" customHeight="1">
      <c r="B7" s="299" t="s">
        <v>735</v>
      </c>
      <c r="K7" s="1049" t="s">
        <v>736</v>
      </c>
      <c r="L7" s="1049" t="s">
        <v>737</v>
      </c>
      <c r="S7" s="1845" t="s">
        <v>738</v>
      </c>
      <c r="T7" s="1845"/>
      <c r="U7" s="1845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7.0931497626254267E-2</v>
      </c>
      <c r="S8" s="47" t="s">
        <v>744</v>
      </c>
      <c r="T8" s="364">
        <f ca="1">U8/$U$15</f>
        <v>0.2083923382150597</v>
      </c>
      <c r="U8" s="56">
        <f>AU239</f>
        <v>2890068.7</v>
      </c>
      <c r="V8" s="61" t="s">
        <v>192</v>
      </c>
      <c r="W8" s="62">
        <f ca="1">T12</f>
        <v>0.25042181304037453</v>
      </c>
      <c r="X8" s="62">
        <f ca="1">W8/(1-$W$10)</f>
        <v>0.33408563766288746</v>
      </c>
    </row>
    <row r="9" spans="2:49" ht="15" customHeight="1">
      <c r="B9" s="301" t="s">
        <v>745</v>
      </c>
      <c r="K9" s="360" t="s">
        <v>717</v>
      </c>
      <c r="L9" s="361">
        <f ca="1">Resultado!E24</f>
        <v>4.7166758028412679E-4</v>
      </c>
      <c r="S9" s="47" t="s">
        <v>746</v>
      </c>
      <c r="T9" s="364">
        <f ca="1">U9/$U$15</f>
        <v>0.26122683287850545</v>
      </c>
      <c r="U9" s="56">
        <f ca="1">AU230</f>
        <v>3622798.7063669376</v>
      </c>
      <c r="V9" s="47" t="s">
        <v>747</v>
      </c>
      <c r="W9" s="57">
        <f ca="1">T13</f>
        <v>4.4704951504609166E-6</v>
      </c>
      <c r="X9" s="62">
        <f ca="1">W9/(1-$W$10)</f>
        <v>5.9640500357282598E-6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-0.17011067586984663</v>
      </c>
      <c r="S10" s="47" t="s">
        <v>750</v>
      </c>
      <c r="T10" s="364">
        <f ca="1">U10/$U$15</f>
        <v>0.13569728790667576</v>
      </c>
      <c r="U10" s="56">
        <f>AU232</f>
        <v>1881904.5259199997</v>
      </c>
      <c r="V10" s="1050" t="s">
        <v>751</v>
      </c>
      <c r="W10" s="1051">
        <f ca="1">SUM(W8:W9)</f>
        <v>0.25042628353552498</v>
      </c>
      <c r="X10" s="1051">
        <f ca="1">SUM(X8:X9)</f>
        <v>0.33409160171292318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-7.5810949885504516E-3</v>
      </c>
      <c r="S11" s="1052" t="s">
        <v>743</v>
      </c>
      <c r="T11" s="1053">
        <f ca="1">U11/$U$15</f>
        <v>0.14425725746423418</v>
      </c>
      <c r="U11" s="1054">
        <f ca="1">AU219</f>
        <v>2000617.6240269083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0.25042181304037453</v>
      </c>
      <c r="U12" s="56">
        <f ca="1">T12*U15</f>
        <v>3472950.348675231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0.1013</v>
      </c>
      <c r="S13" s="47" t="s">
        <v>755</v>
      </c>
      <c r="T13" s="58">
        <f ca="1">Calc_Mercado!J9</f>
        <v>4.4704951504609166E-6</v>
      </c>
      <c r="U13" s="56">
        <f ca="1">T13*U15</f>
        <v>61.998623454742756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-0.11820791344066306</v>
      </c>
      <c r="S14" s="47" t="s">
        <v>758</v>
      </c>
      <c r="T14" s="364">
        <f ca="1">SUM(T12:T13)</f>
        <v>0.25042628353552498</v>
      </c>
      <c r="U14" s="56">
        <f ca="1">SUM(U12:U13)</f>
        <v>3473012.3472986859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0" t="s">
        <v>760</v>
      </c>
      <c r="T15" s="1055">
        <f ca="1">SUM(T8:T11)+T14</f>
        <v>1</v>
      </c>
      <c r="U15" s="1056">
        <f ca="1">SUM(U8:U11)/(1-T14)</f>
        <v>13868401.90361253</v>
      </c>
      <c r="V15" s="635"/>
      <c r="AC15" s="23" t="s">
        <v>761</v>
      </c>
      <c r="AD15" s="413">
        <f ca="1">Resultado!C39</f>
        <v>2978249.779672686</v>
      </c>
      <c r="AE15" s="413">
        <f ca="1">Resultado!C33</f>
        <v>5601476.3360112496</v>
      </c>
      <c r="AF15" s="413">
        <f ca="1">Resultado!C24</f>
        <v>1876418.2265742095</v>
      </c>
      <c r="AG15" s="413">
        <f ca="1">Resultado!C14</f>
        <v>1175563.1888918581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2890068.7</v>
      </c>
      <c r="AE16" s="413">
        <f ca="1">Resultado!D33</f>
        <v>3622798.7063669376</v>
      </c>
      <c r="AF16" s="413">
        <f>Resultado!D24</f>
        <v>1881904.5259199997</v>
      </c>
      <c r="AG16" s="413">
        <f ca="1">Resultado!D14</f>
        <v>2000617.6240269083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49" t="s">
        <v>765</v>
      </c>
      <c r="T20" s="1849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0.27801446827403015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0.34850052388527941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0.1810326121715167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2.446164613095745E-2</v>
      </c>
      <c r="AL26" s="353"/>
    </row>
    <row r="27" spans="2:46" ht="15" customHeight="1">
      <c r="S27" s="47" t="s">
        <v>41</v>
      </c>
      <c r="T27" s="55">
        <f ca="1">AX223</f>
        <v>0.13920614204698795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1.2368067620033604E-3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2.7547800729224949E-2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7" t="s">
        <v>769</v>
      </c>
      <c r="T31" s="1058">
        <f ca="1">SUM(T21:T30)</f>
        <v>0.99999999999999989</v>
      </c>
    </row>
    <row r="36" spans="1:36" ht="15" customHeight="1">
      <c r="N36" s="634" t="s">
        <v>770</v>
      </c>
      <c r="O36" s="634"/>
      <c r="P36" s="1059" t="e">
        <f>VLOOKUP(LnkTXTSigla,Informacoes[],35,FALSE)</f>
        <v>#REF!</v>
      </c>
      <c r="Q36" s="1060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1"/>
      <c r="M38" s="1062">
        <f t="shared" ref="M38:V38" si="0">DATE(M37,MONTH(DataRevRea),1)</f>
        <v>41518</v>
      </c>
      <c r="N38" s="1062">
        <f t="shared" si="0"/>
        <v>41883</v>
      </c>
      <c r="O38" s="1062">
        <f t="shared" si="0"/>
        <v>42248</v>
      </c>
      <c r="P38" s="1062">
        <f t="shared" si="0"/>
        <v>42614</v>
      </c>
      <c r="Q38" s="1062">
        <f t="shared" si="0"/>
        <v>42979</v>
      </c>
      <c r="R38" s="1062">
        <f t="shared" si="0"/>
        <v>43344</v>
      </c>
      <c r="S38" s="1062">
        <f t="shared" si="0"/>
        <v>43709</v>
      </c>
      <c r="T38" s="1062">
        <f t="shared" si="0"/>
        <v>44075</v>
      </c>
      <c r="U38" s="1062">
        <f t="shared" si="0"/>
        <v>44440</v>
      </c>
      <c r="V38" s="1062">
        <f t="shared" si="0"/>
        <v>44805</v>
      </c>
      <c r="W38" s="1062" t="s">
        <v>704</v>
      </c>
    </row>
    <row r="39" spans="1:36" ht="15" customHeight="1">
      <c r="L39" s="65" t="str">
        <f>CAPA!C9</f>
        <v>Coopermila</v>
      </c>
      <c r="M39" s="401">
        <f>SUMIF(TAbtarifasb1[[#All],[Sigla]],LnkTXTSigla,TAbtarifasb1[[#All],[2013]])</f>
        <v>286.64999999999998</v>
      </c>
      <c r="N39" s="401">
        <f>SUMIF(TAbtarifasb1[[#All],[Sigla]],LnkTXTSigla,TAbtarifasb1[[#All],[2014]])</f>
        <v>323.81</v>
      </c>
      <c r="O39" s="401">
        <f>SUMIF(TAbtarifasb1[[#All],[Sigla]],LnkTXTSigla,TAbtarifasb1[[#All],[2015]])</f>
        <v>401.27</v>
      </c>
      <c r="P39" s="411">
        <f>SUMIF(TAbtarifasb1[[#All],[Sigla]],LnkTXTSigla,TAbtarifasb1[[#All],[2016]])</f>
        <v>420.08</v>
      </c>
      <c r="Q39" s="411">
        <f>SUMIF(TAbtarifasb1[[#All],[Sigla]],LnkTXTSigla,TAbtarifasb1[[#All],[2017]])</f>
        <v>440.25</v>
      </c>
      <c r="R39" s="754">
        <f>SUMIF(TAbtarifasb1[[#All],[Sigla]],LnkTXTSigla,TAbtarifasb1[[#All],[2018]])</f>
        <v>475.41</v>
      </c>
      <c r="S39" s="754">
        <f>SUMIF(TAbtarifasb1[[#All],[Sigla]],LnkTXTSigla,TAbtarifasb1[[#All],[2019]])</f>
        <v>506.32999999999993</v>
      </c>
      <c r="T39" s="413">
        <f>SUMIF(TAbtarifasb1[[#All],[Sigla]],LnkTXTSigla,TAbtarifasb1[[#All],[2020]])</f>
        <v>538.1</v>
      </c>
      <c r="U39" s="413">
        <f>SUMIF(TAbtarifasb1[[#All],[Sigla]],LnkTXTSigla,TAbtarifasb1[[#All],[2021]])</f>
        <v>614.15</v>
      </c>
      <c r="V39" s="413">
        <f>Resultado!L6</f>
        <v>533.16</v>
      </c>
      <c r="W39" s="742">
        <f>V39/M39-1</f>
        <v>0.85996860282574561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2">
        <f>V40/M40-1</f>
        <v>-1</v>
      </c>
    </row>
    <row r="41" spans="1:36" ht="15" customHeight="1">
      <c r="L41" s="65" t="s">
        <v>771</v>
      </c>
      <c r="M41" s="402">
        <f>M39</f>
        <v>286.64999999999998</v>
      </c>
      <c r="N41" s="402">
        <f>VLOOKUP(DATE(YEAR(O38),MONTH(O38)-1,1),Índices!$B:$F,2,FALSE)/VLOOKUP(DATE(YEAR(Q36),MONTH(Q36)-1,1),Índices!$B:$F,2,FALSE)*M41</f>
        <v>323.36838740000383</v>
      </c>
      <c r="O41" s="402">
        <f>VLOOKUP(DATE(YEAR(O38),MONTH(O38)-1,1),Índices!$B:$F,2,FALSE)/VLOOKUP(DATE(YEAR(N38),MONTH(N38)-1,1),Índices!$B:$F,2,FALSE)*N41</f>
        <v>347.79320023680702</v>
      </c>
      <c r="P41" s="402">
        <f>VLOOKUP(DATE(YEAR(P38),MONTH(P38)-1,1),Índices!$B:$F,2,FALSE)/VLOOKUP(DATE(YEAR(O38),MONTH(O38)-1,1),Índices!$B:$F,2,FALSE)*O41</f>
        <v>387.75107502806117</v>
      </c>
      <c r="Q41" s="402">
        <f>VLOOKUP(DATE(YEAR(Q38),MONTH(Q38)-1,1),Índices!$B:$F,2,FALSE)/VLOOKUP(DATE(YEAR(P38),MONTH(P38)-1,1),Índices!$B:$F,2,FALSE)*P41</f>
        <v>381.11567838384747</v>
      </c>
      <c r="R41" s="363">
        <f>IF(R37=YEAR(CAPA!$C$114),'Tabelas e Gráficos'!R39,(VLOOKUP(DATE(YEAR(R38),MONTH(R38)-1,1),Índices!$B:$F,2,FALSE)/VLOOKUP(DATE(YEAR(Q38),MONTH(Q38)-1,1),Índices!$B:$F,2,FALSE)*Q41))</f>
        <v>415.00180150833108</v>
      </c>
      <c r="S41" s="363">
        <f>IF(S37=YEAR(CAPA!$C$114),'Tabelas e Gráficos'!S39,(VLOOKUP(DATE(YEAR(S38),MONTH(S38)-1,1),Índices!$B:$F,2,FALSE)/VLOOKUP(DATE(YEAR(R38),MONTH(R38)-1,1),Índices!$B:$F,2,FALSE)*R41))</f>
        <v>435.53965233909338</v>
      </c>
      <c r="T41" s="363">
        <f>IF(T37=YEAR(CAPA!$C$114),'Tabelas e Gráficos'!T39,(VLOOKUP(DATE(YEAR(T38),MONTH(T38)-1,1),Índices!$B:$F,2,FALSE)/VLOOKUP(DATE(YEAR(S38),MONTH(S38)-1,1),Índices!$B:$F,2,FALSE)*S41))</f>
        <v>492.26552162719253</v>
      </c>
      <c r="U41" s="402">
        <f>VLOOKUP(DATE(YEAR(U38),MONTH(U38)-1,1),Índices!$B:$F,2,FALSE)/VLOOKUP(DATE(YEAR(T38),MONTH(T38)-1,1),Índices!$B:$F,2,FALSE)*T41</f>
        <v>645.43560066530131</v>
      </c>
      <c r="V41" s="402">
        <f>VLOOKUP(DATE(YEAR(V38),MONTH(V38)-1,1),Índices!$B:$F,2,FALSE)/VLOOKUP(DATE(YEAR(U38),MONTH(U38)-1,1),Índices!$B:$F,2,FALSE)*U41</f>
        <v>700.86207014705963</v>
      </c>
      <c r="W41" s="742">
        <f>V41/M41-1</f>
        <v>1.4450098382942951</v>
      </c>
    </row>
    <row r="42" spans="1:36" ht="15" customHeight="1">
      <c r="L42" s="1063" t="s">
        <v>772</v>
      </c>
      <c r="M42" s="1065">
        <f>M39</f>
        <v>286.64999999999998</v>
      </c>
      <c r="N42" s="1065">
        <f>VLOOKUP(DATE(YEAR(N38),MONTH(N38)-1,1),Índices!$B:$F,3,FALSE)/VLOOKUP(DATE(YEAR(Q36),MONTH(Q36)-1,1),Índices!$B:$F,3,FALSE)*M42</f>
        <v>305.31942806532561</v>
      </c>
      <c r="O42" s="1065">
        <f>VLOOKUP(DATE(YEAR(O38),MONTH(O38)-1,1),Índices!$B:$F,3,FALSE)/VLOOKUP(DATE(YEAR(N38),MONTH(N38)-1,1),Índices!$B:$F,3,FALSE)*N42</f>
        <v>334.40256109180206</v>
      </c>
      <c r="P42" s="1065">
        <f>VLOOKUP(DATE(YEAR(P38),MONTH(P38)-1,1),Índices!$B:$F,3,FALSE)/VLOOKUP(DATE(YEAR(O38),MONTH(O38)-1,1),Índices!$B:$F,3,FALSE)*O42</f>
        <v>364.41351091667889</v>
      </c>
      <c r="Q42" s="1065">
        <f>VLOOKUP(DATE(YEAR(Q38),MONTH(Q38)-1,1),Índices!$B:$F,3,FALSE)/VLOOKUP(DATE(YEAR(P38),MONTH(P38)-1,1),Índices!$B:$F,3,FALSE)*P42</f>
        <v>373.36317328466555</v>
      </c>
      <c r="R42" s="1064">
        <f>IF(R37=YEAR(CAPA!$C$114),'Tabelas e Gráficos'!R39,(VLOOKUP(DATE(YEAR(R38),MONTH(R38)-1,1),Índices!$B:$F,3,FALSE)/VLOOKUP(DATE(YEAR(Q38),MONTH(Q38)-1,1),Índices!$B:$F,3,FALSE)*'Tabelas e Gráficos'!Q42))</f>
        <v>389.018350756183</v>
      </c>
      <c r="S42" s="1064">
        <f>IF(S37=YEAR(CAPA!$C$114),'Tabelas e Gráficos'!S39,(VLOOKUP(DATE(YEAR(S38),MONTH(S38)-1,1),Índices!$B:$F,3,FALSE)/VLOOKUP(DATE(YEAR(R38),MONTH(R38)-1,1),Índices!$B:$F,3,FALSE)*'Tabelas e Gráficos'!R42))</f>
        <v>402.35629423368533</v>
      </c>
      <c r="T42" s="1064">
        <f>IF(T37=YEAR(CAPA!$C$114),'Tabelas e Gráficos'!T39,(VLOOKUP(DATE(YEAR(T38),MONTH(T38)-1,1),Índices!$B:$F,3,FALSE)/VLOOKUP(DATE(YEAR(S38),MONTH(S38)-1,1),Índices!$B:$F,3,FALSE)*'Tabelas e Gráficos'!S42))</f>
        <v>412.16761067647172</v>
      </c>
      <c r="U42" s="1065">
        <f>VLOOKUP(DATE(YEAR(U38),MONTH(U38)-1,1),Índices!$B:$F,3,FALSE)/VLOOKUP(DATE(YEAR(T38),MONTH(T38)-1,1),Índices!$B:$F,3,FALSE)*T42</f>
        <v>452.06450234168466</v>
      </c>
      <c r="V42" s="1065">
        <f>VLOOKUP(DATE(YEAR(V38),MONTH(V38)-1,1),Índices!$B:$F,3,FALSE)/VLOOKUP(DATE(YEAR(U38),MONTH(U38)-1,1),Índices!$B:$F,3,FALSE)*U42</f>
        <v>491.51748829157663</v>
      </c>
      <c r="W42" s="742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4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50"/>
      <c r="M51" s="1850"/>
      <c r="N51" s="1850"/>
      <c r="O51" s="49"/>
      <c r="P51" s="49"/>
    </row>
    <row r="52" spans="1:47" ht="15" customHeight="1">
      <c r="B52" s="305" t="s">
        <v>776</v>
      </c>
      <c r="C52" s="306">
        <f ca="1">Resultado!C5</f>
        <v>10395389.556313846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11631707.531150002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-0.1062886056518586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-0.1132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66" t="str">
        <f>Resultado!B9</f>
        <v>Variação econômica e financeira</v>
      </c>
      <c r="C56" s="1067">
        <f ca="1">C54+C55</f>
        <v>-0.2194886056518586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18010.933000000005</v>
      </c>
      <c r="G60" s="306">
        <f ca="1">Calc_Mercado!D8</f>
        <v>11631707.531150002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11257.611000000003</v>
      </c>
      <c r="G65" s="306">
        <f ca="1">Calc_Mercado!D13</f>
        <v>7030864.2179500004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6753.3220000000001</v>
      </c>
      <c r="G67" s="306">
        <f ca="1">Calc_Mercado!D15</f>
        <v>4600843.3132000007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6" t="s">
        <v>769</v>
      </c>
      <c r="F70" s="1068">
        <f ca="1">Calc_Mercado!C25</f>
        <v>18010.933000000005</v>
      </c>
      <c r="G70" s="1068">
        <f ca="1">Calc_Mercado!D25</f>
        <v>11631707.531150002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7"/>
      <c r="D74" s="1847"/>
      <c r="E74" s="1847"/>
      <c r="I74" s="1069" t="s">
        <v>743</v>
      </c>
      <c r="J74" s="1070">
        <f ca="1">SUM(J75:J84)</f>
        <v>1175563.1888918581</v>
      </c>
      <c r="K74" s="1071">
        <f ca="1">SUM(K75:K84)</f>
        <v>0.10106540125288317</v>
      </c>
      <c r="L74" s="313" t="s">
        <v>782</v>
      </c>
      <c r="N74" s="34"/>
      <c r="AG74" s="49"/>
      <c r="AH74" s="1854"/>
      <c r="AI74" s="1854"/>
      <c r="AJ74" s="1854"/>
      <c r="AK74" s="637"/>
      <c r="AL74" s="49"/>
      <c r="AM74" s="49"/>
      <c r="AN74" s="49"/>
      <c r="AO74" s="49"/>
    </row>
    <row r="75" spans="2:43" ht="15" hidden="1" customHeight="1">
      <c r="B75" s="30"/>
      <c r="C75" s="1846"/>
      <c r="D75" s="1846"/>
      <c r="E75" s="1846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55"/>
      <c r="AI75" s="1855"/>
      <c r="AJ75" s="1855"/>
      <c r="AK75" s="638"/>
      <c r="AL75" s="417"/>
      <c r="AM75" s="49"/>
      <c r="AN75" s="49"/>
      <c r="AO75" s="49"/>
    </row>
    <row r="76" spans="2:43" ht="15" hidden="1" customHeight="1">
      <c r="B76" s="30"/>
      <c r="C76" s="1846"/>
      <c r="D76" s="1846"/>
      <c r="E76" s="1846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46"/>
      <c r="D77" s="1846"/>
      <c r="E77" s="1846"/>
      <c r="I77" s="35" t="str">
        <f>Resultado!B17</f>
        <v>Taxa de Fisc. de Serviços de E.E. – TFSEE</v>
      </c>
      <c r="J77" s="315">
        <f ca="1">Mercado_Faturado_Encargo_TFSEE_BRUTO</f>
        <v>12700.855155608337</v>
      </c>
      <c r="K77" s="36">
        <f ca="1">J77/$J$98</f>
        <v>1.0919166529587449E-3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46"/>
      <c r="D78" s="1846"/>
      <c r="E78" s="1846"/>
      <c r="I78" s="35" t="str">
        <f>Resultado!B18</f>
        <v>Conta de Desenvolvimento Energético – CDE</v>
      </c>
      <c r="J78" s="315">
        <f ca="1">Mercado_Faturado_Encargo_CDE_BRUTO</f>
        <v>995273.42836156057</v>
      </c>
      <c r="K78" s="36">
        <f ca="1">J78/$J$98</f>
        <v>8.5565547938356731E-2</v>
      </c>
      <c r="L78" s="313">
        <f t="shared" ref="L78:L95" ca="1" si="2">IF(J78=0,0,1)</f>
        <v>1</v>
      </c>
      <c r="N78" s="36"/>
      <c r="AG78" s="49"/>
      <c r="AH78" s="1855"/>
      <c r="AI78" s="1855"/>
      <c r="AJ78" s="1855"/>
      <c r="AK78" s="638"/>
      <c r="AL78" s="417"/>
      <c r="AM78" s="49"/>
      <c r="AN78" s="49"/>
      <c r="AO78" s="49"/>
    </row>
    <row r="79" spans="2:43" ht="15" hidden="1" customHeight="1">
      <c r="B79" s="30"/>
      <c r="C79" s="1846"/>
      <c r="D79" s="1846"/>
      <c r="E79" s="1846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06"/>
      <c r="D80" s="1706"/>
      <c r="E80" s="1706"/>
      <c r="I80" s="35" t="s">
        <v>2302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46"/>
      <c r="D81" s="1846"/>
      <c r="E81" s="1846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46"/>
      <c r="D82" s="1846"/>
      <c r="E82" s="1846"/>
      <c r="I82" s="35" t="str">
        <f>Resultado!B21</f>
        <v>PROINFA</v>
      </c>
      <c r="J82" s="315">
        <f ca="1">Mercado_Faturado_Encargo_PROINFA_BRUTO</f>
        <v>167588.9053746892</v>
      </c>
      <c r="K82" s="36">
        <f ca="1">J82/$J$98</f>
        <v>1.4407936661567698E-2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55"/>
      <c r="AI83" s="1855"/>
      <c r="AJ83" s="1855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69" t="s">
        <v>795</v>
      </c>
      <c r="J85" s="1070">
        <f ca="1">SUM(Calc_Mercado!C79:C85)</f>
        <v>5601476.3360112496</v>
      </c>
      <c r="K85" s="1071">
        <f ca="1">SUM(K86)</f>
        <v>0.48156956500241743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5601476.3360112496</v>
      </c>
      <c r="K86" s="36">
        <f t="shared" ref="K86:K97" ca="1" si="3">J86/$J$98</f>
        <v>0.48156956500241743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53"/>
      <c r="C87" s="1853"/>
      <c r="D87" s="1853"/>
      <c r="E87" s="1853"/>
      <c r="F87" s="1853"/>
      <c r="G87" s="39"/>
      <c r="I87" s="1069" t="s">
        <v>797</v>
      </c>
      <c r="J87" s="1070">
        <f ca="1">Resultado!C24</f>
        <v>1876418.2265742095</v>
      </c>
      <c r="K87" s="1071">
        <f t="shared" ca="1" si="3"/>
        <v>0.16131924066600839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52"/>
      <c r="C88" s="1852"/>
      <c r="D88" s="1852"/>
      <c r="E88" s="1852"/>
      <c r="F88" s="1852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52"/>
      <c r="C90" s="1852"/>
      <c r="D90" s="1852"/>
      <c r="E90" s="1852"/>
      <c r="F90" s="1852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53"/>
      <c r="C95" s="1853"/>
      <c r="D95" s="1853"/>
      <c r="E95" s="1853"/>
      <c r="F95" s="1853"/>
      <c r="G95" s="42"/>
      <c r="I95" s="37" t="s">
        <v>639</v>
      </c>
      <c r="J95" s="315">
        <f ca="1">Resultado!C32</f>
        <v>1876418.2265742095</v>
      </c>
      <c r="K95" s="36">
        <f t="shared" ca="1" si="3"/>
        <v>0.16131924066600839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52"/>
      <c r="C96" s="1852"/>
      <c r="D96" s="1852"/>
      <c r="E96" s="1852"/>
      <c r="F96" s="1852"/>
      <c r="I96" s="1069" t="s">
        <v>798</v>
      </c>
      <c r="J96" s="1070">
        <f ca="1">J87+J85+J74</f>
        <v>8653457.7514773179</v>
      </c>
      <c r="K96" s="1071">
        <f t="shared" ca="1" si="3"/>
        <v>0.74395420692130909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52"/>
      <c r="C97" s="1852"/>
      <c r="D97" s="1852"/>
      <c r="E97" s="1852"/>
      <c r="F97" s="1852"/>
      <c r="I97" s="1069" t="s">
        <v>799</v>
      </c>
      <c r="J97" s="1070">
        <f ca="1">J98-J96</f>
        <v>2978249.7796726841</v>
      </c>
      <c r="K97" s="1071">
        <f t="shared" ca="1" si="3"/>
        <v>0.25604579307869091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53"/>
      <c r="C98" s="1853"/>
      <c r="D98" s="1853"/>
      <c r="E98" s="1853"/>
      <c r="F98" s="1853"/>
      <c r="G98" s="28"/>
      <c r="I98" s="1066" t="s">
        <v>800</v>
      </c>
      <c r="J98" s="1068">
        <f ca="1">Mercado_RA0_Reais</f>
        <v>11631707.531150002</v>
      </c>
      <c r="K98" s="1072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52"/>
      <c r="C99" s="1852"/>
      <c r="D99" s="1852"/>
      <c r="E99" s="1852"/>
      <c r="F99" s="1852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52"/>
      <c r="C100" s="1852"/>
      <c r="D100" s="1852"/>
      <c r="E100" s="1852"/>
      <c r="F100" s="1852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12857.088096908077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1447102.0752100002</v>
      </c>
      <c r="O104" s="319">
        <f t="shared" ca="1" si="4"/>
        <v>1</v>
      </c>
    </row>
    <row r="105" spans="2:41" ht="15" hidden="1" customHeight="1">
      <c r="B105" s="1852"/>
      <c r="C105" s="1852"/>
      <c r="D105" s="1852"/>
      <c r="E105" s="1852"/>
      <c r="F105" s="1852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2054</v>
      </c>
      <c r="N106" s="315">
        <f>Encargos!I21</f>
        <v>0</v>
      </c>
      <c r="O106" s="1551">
        <f>IF(N106=0,0,1)</f>
        <v>0</v>
      </c>
    </row>
    <row r="107" spans="2:41" ht="15" customHeight="1">
      <c r="B107" s="1852"/>
      <c r="C107" s="1852"/>
      <c r="D107" s="1852"/>
      <c r="E107" s="1852"/>
      <c r="F107" s="1852"/>
      <c r="G107" s="45"/>
      <c r="M107" s="35" t="str">
        <f>Resultado!B20</f>
        <v>Encargos Serv. Sist. - ESS e Energ. Reserv. – EER</v>
      </c>
      <c r="N107" s="315">
        <f>Resultado!D20</f>
        <v>286370.12</v>
      </c>
      <c r="O107" s="319">
        <f t="shared" si="4"/>
        <v>1</v>
      </c>
    </row>
    <row r="108" spans="2:41" ht="15" customHeight="1">
      <c r="B108" s="1853"/>
      <c r="C108" s="1853"/>
      <c r="D108" s="1853"/>
      <c r="E108" s="1853"/>
      <c r="F108" s="1853"/>
      <c r="G108" s="39"/>
      <c r="M108" s="35" t="str">
        <f>Resultado!B21</f>
        <v>PROINFA</v>
      </c>
      <c r="N108" s="315">
        <f ca="1">Resultado!D21</f>
        <v>254288.34072000007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6" t="s">
        <v>769</v>
      </c>
      <c r="N111" s="1068">
        <f ca="1">SUM(N101:N110)</f>
        <v>2000617.6240269083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3">
        <f ca="1">Energia!N14</f>
        <v>5.1311812530391798E-2</v>
      </c>
    </row>
    <row r="116" spans="2:44" ht="15" customHeight="1">
      <c r="B116" s="46"/>
      <c r="C116" s="307"/>
      <c r="D116" s="307"/>
      <c r="P116" s="1066" t="s">
        <v>769</v>
      </c>
      <c r="Q116" s="1072">
        <f ca="1">SUM(Q114:Q115)</f>
        <v>5.1311812530391798E-2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4" t="s">
        <v>805</v>
      </c>
      <c r="T121" s="1075">
        <f ca="1">SUM(T122:T123)</f>
        <v>18010.933000000005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18010.933000000005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4" t="s">
        <v>808</v>
      </c>
      <c r="T124" s="1076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6" t="s">
        <v>804</v>
      </c>
      <c r="T127" s="1077">
        <f ca="1">T121+T124</f>
        <v>18010.933000000005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78" t="s">
        <v>811</v>
      </c>
      <c r="W129" s="1078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1" t="s">
        <v>27</v>
      </c>
      <c r="W130" s="1079" t="s">
        <v>77</v>
      </c>
      <c r="X130" s="1061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0">
        <f>Energia!B32</f>
        <v>0</v>
      </c>
      <c r="W135" s="1080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1"/>
      <c r="W136" s="1082"/>
      <c r="X136" s="1083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78" t="s">
        <v>813</v>
      </c>
      <c r="AA138" s="1078"/>
      <c r="AB138" s="1078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17344.171999999999</v>
      </c>
      <c r="AB140" s="331">
        <f>Energia!G35</f>
        <v>284.99</v>
      </c>
      <c r="AC140" s="332">
        <f>AA140*AB140</f>
        <v>4942915.57828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4">
        <f>Energia!C20</f>
        <v>266.3712037912012</v>
      </c>
      <c r="AB142" s="1085">
        <f>Energia!D20</f>
        <v>0</v>
      </c>
      <c r="AC142" s="1086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4" t="s">
        <v>815</v>
      </c>
      <c r="AA143" s="1087">
        <f ca="1">Energia!M30-Energia!L30</f>
        <v>642.02710037211727</v>
      </c>
      <c r="AB143" s="1088">
        <f>Energia!M34</f>
        <v>0</v>
      </c>
      <c r="AC143" s="1088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6" t="s">
        <v>769</v>
      </c>
      <c r="AA144" s="1089">
        <f ca="1">SUM(AA140:AA143)</f>
        <v>18252.570304163317</v>
      </c>
      <c r="AB144" s="1090">
        <f ca="1">AC144/AA144</f>
        <v>270.80654920981436</v>
      </c>
      <c r="AC144" s="1090">
        <f ca="1">SUM(AC140:AC143)</f>
        <v>4942915.57828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1" t="s">
        <v>753</v>
      </c>
      <c r="AF146" s="1091"/>
      <c r="AG146" s="1091"/>
      <c r="AH146" s="1091"/>
      <c r="AI146" s="1091"/>
      <c r="AJ146" s="1091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1" t="s">
        <v>27</v>
      </c>
      <c r="AF147" s="1061" t="s">
        <v>77</v>
      </c>
      <c r="AG147" s="1061" t="s">
        <v>816</v>
      </c>
      <c r="AH147" s="1061" t="s">
        <v>817</v>
      </c>
      <c r="AI147" s="1061" t="s">
        <v>60</v>
      </c>
      <c r="AJ147" s="1061" t="s">
        <v>818</v>
      </c>
      <c r="AK147" s="1061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50700</v>
      </c>
      <c r="AJ148" s="397">
        <f>CUSD!J6</f>
        <v>13.88</v>
      </c>
      <c r="AK148" s="334">
        <f>IFERROR(AI148*AJ148,0)</f>
        <v>703716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39989.199999999997</v>
      </c>
      <c r="AJ149" s="397">
        <f>CUSD!J7</f>
        <v>24.15</v>
      </c>
      <c r="AK149" s="334">
        <f t="shared" ref="AK149:AK155" si="6">IFERROR(AI149*AJ149,0)</f>
        <v>965739.17999999982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15915.264999999999</v>
      </c>
      <c r="AJ150" s="397">
        <f>CUSD!J8</f>
        <v>12.06</v>
      </c>
      <c r="AK150" s="334">
        <f t="shared" si="6"/>
        <v>191938.09590000001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1700.7670000000001</v>
      </c>
      <c r="AJ151" s="397">
        <f>CUSD!J9</f>
        <v>12.06</v>
      </c>
      <c r="AK151" s="334">
        <f t="shared" si="6"/>
        <v>20511.250020000003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6" t="s">
        <v>819</v>
      </c>
      <c r="AF163" s="1066"/>
      <c r="AG163" s="1066"/>
      <c r="AH163" s="1066"/>
      <c r="AI163" s="1092">
        <f>SUM(AI148:AI162)</f>
        <v>108305.232</v>
      </c>
      <c r="AJ163" s="1068"/>
      <c r="AK163" s="1068">
        <f>SUM(AK148:AK162)</f>
        <v>1881904.5259199997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1" t="s">
        <v>820</v>
      </c>
      <c r="AN165" s="1742" t="s">
        <v>773</v>
      </c>
    </row>
    <row r="166" spans="2:42" ht="15" customHeight="1">
      <c r="B166" s="46"/>
      <c r="C166" s="307"/>
      <c r="D166" s="307"/>
      <c r="P166" s="44"/>
      <c r="Q166" s="307"/>
      <c r="AM166" s="1743" t="s">
        <v>724</v>
      </c>
      <c r="AN166" s="1707" t="s">
        <v>775</v>
      </c>
      <c r="AO166" s="23" t="s">
        <v>782</v>
      </c>
      <c r="AP166" s="651" t="s">
        <v>821</v>
      </c>
    </row>
    <row r="167" spans="2:42" ht="15" customHeight="1">
      <c r="B167" s="46"/>
      <c r="C167" s="307"/>
      <c r="D167" s="307"/>
      <c r="P167" s="44"/>
      <c r="Q167" s="307"/>
      <c r="AM167" s="922" t="s">
        <v>2303</v>
      </c>
      <c r="AN167" s="1744">
        <f ca="1">SUM(Financeiros!D9:D14)</f>
        <v>261031.8883470876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2" t="s">
        <v>728</v>
      </c>
      <c r="AN168" s="1744">
        <f ca="1">SUM(Financeiros!D15:D19,D21)</f>
        <v>-113795.45663428237</v>
      </c>
      <c r="AO168" s="23">
        <f t="shared" ca="1" si="8"/>
        <v>1</v>
      </c>
      <c r="AP168" s="651"/>
    </row>
    <row r="169" spans="2:42" ht="15" hidden="1" customHeight="1">
      <c r="B169" s="46"/>
      <c r="C169" s="307"/>
      <c r="D169" s="307"/>
      <c r="P169" s="44"/>
      <c r="Q169" s="307"/>
      <c r="AM169" s="925" t="s">
        <v>2102</v>
      </c>
      <c r="AN169" s="926">
        <f ca="1">Financeiros!D20+Financeiros!D22</f>
        <v>0</v>
      </c>
      <c r="AO169" s="23">
        <f t="shared" ca="1" si="8"/>
        <v>0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5" t="s">
        <v>2159</v>
      </c>
      <c r="AN170" s="926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2" t="s">
        <v>2304</v>
      </c>
      <c r="AN171" s="1744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2"/>
      <c r="AN172" s="1744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2"/>
      <c r="AN173" s="1744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2" t="str">
        <f>Financeiros!C26</f>
        <v>Manual de Contabilidade do Setor Elétrico</v>
      </c>
      <c r="AN174" s="1744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2" t="str">
        <f>Financeiros!C27</f>
        <v>Financeiro CDE Eletrobras</v>
      </c>
      <c r="AN175" s="1744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2" t="s">
        <v>2306</v>
      </c>
      <c r="AN176" s="1744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2" t="str">
        <f>Financeiros!C29</f>
        <v>Compensação DIC FIC</v>
      </c>
      <c r="AN177" s="1744">
        <f>Financeiros!D29</f>
        <v>-33595.792543624571</v>
      </c>
      <c r="AO177" s="651">
        <f>IF(AN177=0,0,1)</f>
        <v>1</v>
      </c>
      <c r="AP177" s="651"/>
    </row>
    <row r="178" spans="2:42" ht="15" customHeight="1">
      <c r="B178" s="46"/>
      <c r="C178" s="307"/>
      <c r="D178" s="307"/>
      <c r="P178" s="44"/>
      <c r="Q178" s="307"/>
      <c r="AM178" s="922" t="str">
        <f>Financeiros!C30</f>
        <v>Subvenção CDE</v>
      </c>
      <c r="AN178" s="1744">
        <f ca="1">Financeiros!D30</f>
        <v>-1494125.1525960967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2" t="str">
        <f>Financeiros!C31</f>
        <v>Retenção de Adicionais de Bandeiras Tarifárias</v>
      </c>
      <c r="AN179" s="1744">
        <f>Financeiros!D31</f>
        <v>-95594.391468786154</v>
      </c>
      <c r="AO179" s="23">
        <f t="shared" si="8"/>
        <v>1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2" t="str">
        <f>Financeiros!C32</f>
        <v>Multa LPT</v>
      </c>
      <c r="AN180" s="1744">
        <f>Financeiros!D32</f>
        <v>0</v>
      </c>
      <c r="AO180" s="1550">
        <f>IF(AN180=0,0,1)</f>
        <v>0</v>
      </c>
      <c r="AP180" s="1550"/>
    </row>
    <row r="181" spans="2:42" ht="15" hidden="1" customHeight="1">
      <c r="B181" s="46"/>
      <c r="C181" s="307"/>
      <c r="D181" s="307"/>
      <c r="P181" s="44"/>
      <c r="Q181" s="307"/>
      <c r="AM181" s="922" t="s">
        <v>2388</v>
      </c>
      <c r="AN181" s="1744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2"/>
      <c r="AN182" s="1744"/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2" t="str">
        <f>Financeiros!C35</f>
        <v>Ressarcimento P&amp;D</v>
      </c>
      <c r="AN183" s="1744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2" t="str">
        <f>Financeiros!C36</f>
        <v>Efeito Conta COVID</v>
      </c>
      <c r="AN184" s="1744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2" t="str">
        <f>Financeiros!C37</f>
        <v>Diferimento de Parcela B</v>
      </c>
      <c r="AN185" s="1744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2" t="str">
        <f>Financeiros!C38</f>
        <v>Efeito COVID da Supridora</v>
      </c>
      <c r="AN186" s="1744">
        <f>Financeiros!D38</f>
        <v>0</v>
      </c>
      <c r="AO186" s="23">
        <f t="shared" si="9"/>
        <v>0</v>
      </c>
      <c r="AP186" s="651"/>
    </row>
    <row r="187" spans="2:42" ht="15" hidden="1" customHeight="1">
      <c r="B187" s="46"/>
      <c r="C187" s="307"/>
      <c r="D187" s="307"/>
      <c r="P187" s="44"/>
      <c r="Q187" s="307"/>
      <c r="AM187" s="922" t="str">
        <f>Financeiros!C39</f>
        <v>Crédito de Pis Cofins sobre ICMS</v>
      </c>
      <c r="AN187" s="1744">
        <f>Financeiros!D39</f>
        <v>0</v>
      </c>
      <c r="AO187" s="23">
        <f t="shared" si="9"/>
        <v>0</v>
      </c>
      <c r="AP187" s="651"/>
    </row>
    <row r="188" spans="2:42" ht="15" hidden="1" customHeight="1">
      <c r="B188" s="46"/>
      <c r="C188" s="307"/>
      <c r="D188" s="307"/>
      <c r="P188" s="44"/>
      <c r="Q188" s="307"/>
      <c r="AM188" s="922" t="s">
        <v>2389</v>
      </c>
      <c r="AN188" s="1744">
        <f>Financeiros!D40+Financeiros!D41</f>
        <v>0</v>
      </c>
      <c r="AO188" s="23">
        <f t="shared" si="9"/>
        <v>0</v>
      </c>
      <c r="AP188" s="913"/>
    </row>
    <row r="189" spans="2:42" ht="15" hidden="1" customHeight="1">
      <c r="B189" s="46"/>
      <c r="C189" s="307"/>
      <c r="D189" s="307"/>
      <c r="P189" s="44"/>
      <c r="Q189" s="307"/>
      <c r="AM189" s="922"/>
      <c r="AN189" s="1744">
        <v>0</v>
      </c>
      <c r="AO189" s="23">
        <f t="shared" si="9"/>
        <v>0</v>
      </c>
      <c r="AP189" s="913"/>
    </row>
    <row r="190" spans="2:42" ht="15" hidden="1" customHeight="1">
      <c r="B190" s="46"/>
      <c r="C190" s="307"/>
      <c r="D190" s="307"/>
      <c r="P190" s="44"/>
      <c r="Q190" s="307"/>
      <c r="AM190" s="922" t="str">
        <f>Financeiros!C42</f>
        <v>Financeiros associados ao §7º do Art. 88 da Ren 414/2021</v>
      </c>
      <c r="AN190" s="1744">
        <f>Financeiros!D42</f>
        <v>0</v>
      </c>
      <c r="AO190" s="23">
        <f t="shared" si="8"/>
        <v>0</v>
      </c>
      <c r="AP190" s="651"/>
    </row>
    <row r="191" spans="2:42" ht="15" hidden="1" customHeight="1">
      <c r="B191" s="46"/>
      <c r="C191" s="307"/>
      <c r="D191" s="307"/>
      <c r="P191" s="44"/>
      <c r="Q191" s="307"/>
      <c r="AM191" s="922" t="str">
        <f>Financeiros!C43</f>
        <v>Spread Conta Covid</v>
      </c>
      <c r="AN191" s="1744">
        <f>Financeiros!D43</f>
        <v>0</v>
      </c>
      <c r="AO191" s="23">
        <f t="shared" si="8"/>
        <v>0</v>
      </c>
      <c r="AP191" s="651"/>
    </row>
    <row r="192" spans="2:42" ht="15" hidden="1" customHeight="1">
      <c r="B192" s="46"/>
      <c r="C192" s="307"/>
      <c r="D192" s="307"/>
      <c r="P192" s="44"/>
      <c r="Q192" s="307"/>
      <c r="AM192" s="922" t="str">
        <f>Financeiros!C44</f>
        <v>Diferimento de Energia</v>
      </c>
      <c r="AN192" s="1744">
        <f>Financeiros!D44</f>
        <v>0</v>
      </c>
      <c r="AO192" s="23">
        <f>IF(AN192=0,0,1)</f>
        <v>0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2" t="str">
        <f>Financeiros!C45</f>
        <v xml:space="preserve">Reversão do Diferimento de Compra de Energia </v>
      </c>
      <c r="AN193" s="1744">
        <f>Financeiros!D45</f>
        <v>0</v>
      </c>
      <c r="AO193" s="23">
        <f t="shared" ref="AO193:AO195" si="10">IF(AN193=0,0,1)</f>
        <v>0</v>
      </c>
      <c r="AP193" s="651"/>
    </row>
    <row r="194" spans="2:42" ht="15" hidden="1" customHeight="1">
      <c r="B194" s="46"/>
      <c r="C194" s="307"/>
      <c r="D194" s="307"/>
      <c r="P194" s="44"/>
      <c r="Q194" s="307"/>
      <c r="AM194" s="922" t="str">
        <f>Financeiros!C46</f>
        <v>Reversão do Diferimento de Parcela B</v>
      </c>
      <c r="AN194" s="1744">
        <f>Financeiros!D46</f>
        <v>0</v>
      </c>
      <c r="AO194" s="23">
        <f t="shared" si="10"/>
        <v>0</v>
      </c>
      <c r="AP194" s="651"/>
    </row>
    <row r="195" spans="2:42" ht="15" hidden="1" customHeight="1">
      <c r="B195" s="46"/>
      <c r="C195" s="307"/>
      <c r="D195" s="307"/>
      <c r="P195" s="44"/>
      <c r="Q195" s="307"/>
      <c r="AM195" s="922" t="s">
        <v>2399</v>
      </c>
      <c r="AN195" s="1744">
        <f>Financeiros!D47+Financeiros!D48</f>
        <v>0</v>
      </c>
      <c r="AO195" s="23">
        <f t="shared" si="10"/>
        <v>0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2"/>
      <c r="AN196" s="1744">
        <v>0</v>
      </c>
      <c r="AO196" s="651">
        <f>IF(AN196=0,0,1)</f>
        <v>0</v>
      </c>
      <c r="AP196" s="651"/>
    </row>
    <row r="197" spans="2:42" ht="15" hidden="1" customHeight="1">
      <c r="B197" s="46"/>
      <c r="C197" s="307"/>
      <c r="D197" s="307"/>
      <c r="P197" s="44"/>
      <c r="Q197" s="307"/>
      <c r="AM197" s="922" t="s">
        <v>2307</v>
      </c>
      <c r="AN197" s="1744">
        <f ca="1">SUM(Financeiros!D58:D62)</f>
        <v>0</v>
      </c>
      <c r="AO197" s="23">
        <f ca="1">IF(AN197=0,0,1)</f>
        <v>0</v>
      </c>
      <c r="AP197" s="651"/>
    </row>
    <row r="198" spans="2:42" ht="15" hidden="1" customHeight="1">
      <c r="B198" s="46"/>
      <c r="C198" s="307"/>
      <c r="D198" s="307"/>
      <c r="P198" s="44"/>
      <c r="Q198" s="307"/>
      <c r="AM198" s="922" t="s">
        <v>2308</v>
      </c>
      <c r="AN198" s="1744">
        <f>Financeiros!D65</f>
        <v>0</v>
      </c>
      <c r="AO198" s="23">
        <f>IF(AN198=0,0,1)</f>
        <v>0</v>
      </c>
      <c r="AP198" s="651"/>
    </row>
    <row r="199" spans="2:42" ht="15" hidden="1" customHeight="1">
      <c r="B199" s="46"/>
      <c r="C199" s="307"/>
      <c r="D199" s="307"/>
      <c r="P199" s="44"/>
      <c r="Q199" s="307"/>
      <c r="AM199" s="922" t="s">
        <v>2058</v>
      </c>
      <c r="AN199" s="1744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2"/>
      <c r="AN200" s="1744">
        <v>0</v>
      </c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2"/>
      <c r="AN201" s="1744">
        <v>0</v>
      </c>
      <c r="AO201" s="651">
        <f t="shared" si="11"/>
        <v>0</v>
      </c>
      <c r="AP201" s="651"/>
    </row>
    <row r="202" spans="2:42" ht="15" hidden="1" customHeight="1">
      <c r="B202" s="46"/>
      <c r="C202" s="307"/>
      <c r="D202" s="307"/>
      <c r="P202" s="44"/>
      <c r="Q202" s="307"/>
      <c r="AM202" s="922" t="s">
        <v>2310</v>
      </c>
      <c r="AN202" s="1744">
        <f ca="1">SUM(Financeiros!D77:D81)</f>
        <v>0</v>
      </c>
      <c r="AO202" s="651">
        <f ca="1">IF(AN202=0,0,1)</f>
        <v>0</v>
      </c>
      <c r="AP202" s="651"/>
    </row>
    <row r="203" spans="2:42" ht="15" hidden="1" customHeight="1">
      <c r="B203" s="46"/>
      <c r="C203" s="307"/>
      <c r="D203" s="307"/>
      <c r="P203" s="44"/>
      <c r="Q203" s="307"/>
      <c r="AM203" s="922" t="s">
        <v>1305</v>
      </c>
      <c r="AN203" s="1744">
        <f ca="1">SUM(Financeiros!D82:D86)</f>
        <v>0</v>
      </c>
      <c r="AO203" s="651">
        <f ca="1">IF(AN203=0,0,1)</f>
        <v>0</v>
      </c>
      <c r="AP203" s="651"/>
    </row>
    <row r="204" spans="2:42" ht="15" customHeight="1">
      <c r="B204" s="46"/>
      <c r="C204" s="307"/>
      <c r="D204" s="307"/>
      <c r="P204" s="44"/>
      <c r="Q204" s="307"/>
      <c r="AM204" s="922" t="s">
        <v>2309</v>
      </c>
      <c r="AN204" s="1744">
        <f ca="1">SUM(Financeiros!D87:D91)</f>
        <v>159097.40215068549</v>
      </c>
      <c r="AO204" s="651">
        <f t="shared" ca="1" si="11"/>
        <v>1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2" t="s">
        <v>2416</v>
      </c>
      <c r="AN205" s="1744">
        <f>SUM(Financeiros!D92:D96)</f>
        <v>0</v>
      </c>
      <c r="AO205" s="651">
        <f t="shared" si="11"/>
        <v>0</v>
      </c>
      <c r="AP205" s="651"/>
    </row>
    <row r="206" spans="2:42" ht="15" hidden="1" customHeight="1">
      <c r="B206" s="46"/>
      <c r="C206" s="307"/>
      <c r="D206" s="307"/>
      <c r="P206" s="44"/>
      <c r="Q206" s="307"/>
      <c r="AM206" s="922" t="s">
        <v>2415</v>
      </c>
      <c r="AN206" s="1744">
        <f>Financeiros!D97</f>
        <v>0</v>
      </c>
      <c r="AO206" s="651">
        <f t="shared" si="11"/>
        <v>0</v>
      </c>
      <c r="AP206" s="651"/>
    </row>
    <row r="207" spans="2:42" ht="15" hidden="1" customHeight="1">
      <c r="B207" s="46"/>
      <c r="C207" s="307"/>
      <c r="D207" s="307"/>
      <c r="P207" s="44"/>
      <c r="Q207" s="307"/>
      <c r="AM207" s="922"/>
      <c r="AN207" s="1744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08" t="s">
        <v>727</v>
      </c>
      <c r="AN208" s="1114">
        <f ca="1">SUM(AN167:AN207)</f>
        <v>-1316981.5027450167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1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79" t="s">
        <v>823</v>
      </c>
      <c r="AQ212" s="1061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-0.138934108301207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-8.1704425421003979E-2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6" t="s">
        <v>827</v>
      </c>
      <c r="AQ215" s="1072">
        <f>LnkTXTEfeito</f>
        <v>-0.11820791344066306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1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5" t="s">
        <v>829</v>
      </c>
      <c r="AT218" s="915" t="s">
        <v>793</v>
      </c>
      <c r="AU218" s="915" t="s">
        <v>830</v>
      </c>
      <c r="AV218" s="915" t="s">
        <v>831</v>
      </c>
      <c r="AW218" s="915" t="s">
        <v>832</v>
      </c>
      <c r="AX218" s="915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3" t="s">
        <v>834</v>
      </c>
      <c r="AT219" s="1094">
        <f ca="1">SUM(AT220:AT229)</f>
        <v>1175563.1888918581</v>
      </c>
      <c r="AU219" s="1094">
        <f ca="1">SUM(AU220:AU229)</f>
        <v>2000617.6240269083</v>
      </c>
      <c r="AV219" s="1095">
        <f ca="1">IF(AU219=0,0,ROUND(AU219/AT219-1,4))</f>
        <v>0.70179999999999998</v>
      </c>
      <c r="AW219" s="1095">
        <f ca="1">SUM(AW220:AW229)</f>
        <v>7.0931497626254267E-2</v>
      </c>
      <c r="AX219" s="1095">
        <f t="shared" ref="AX219:AX224" ca="1" si="12">AU219/$AU$237</f>
        <v>0.19245239566917369</v>
      </c>
      <c r="AY219" s="318">
        <v>1</v>
      </c>
    </row>
    <row r="220" spans="2:54" ht="15" hidden="1" customHeight="1">
      <c r="AS220" s="916" t="str">
        <f t="shared" ref="AS220:AT223" si="13">I75</f>
        <v>Reserva Global de Reversão – RGR</v>
      </c>
      <c r="AT220" s="917">
        <f t="shared" si="13"/>
        <v>0</v>
      </c>
      <c r="AU220" s="917">
        <f>Resultado!D15</f>
        <v>0</v>
      </c>
      <c r="AV220" s="918">
        <f t="shared" ref="AV220:AV235" si="14">IF(AU220=0,0,ROUND(AU220/AT220-1,3))</f>
        <v>0</v>
      </c>
      <c r="AW220" s="918">
        <f t="shared" ref="AW220:AW229" ca="1" si="15">(AU220-AT220)/$AT$237</f>
        <v>0</v>
      </c>
      <c r="AX220" s="918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6" t="str">
        <f t="shared" si="13"/>
        <v>Conta de Consumo de Combustíveis – CCC</v>
      </c>
      <c r="AT221" s="917">
        <f t="shared" si="13"/>
        <v>0</v>
      </c>
      <c r="AU221" s="917">
        <f>Resultado!D16</f>
        <v>0</v>
      </c>
      <c r="AV221" s="918">
        <f t="shared" si="14"/>
        <v>0</v>
      </c>
      <c r="AW221" s="918">
        <f t="shared" ca="1" si="15"/>
        <v>0</v>
      </c>
      <c r="AX221" s="918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6" t="str">
        <f t="shared" si="13"/>
        <v>Taxa de Fisc. de Serviços de E.E. – TFSEE</v>
      </c>
      <c r="AT222" s="917">
        <f t="shared" ca="1" si="13"/>
        <v>12700.855155608337</v>
      </c>
      <c r="AU222" s="917">
        <f ca="1">Resultado!D17</f>
        <v>12857.088096908077</v>
      </c>
      <c r="AV222" s="918">
        <f ca="1">IF(AU222=0,0,ROUND(AU222/AT222-1,4))</f>
        <v>1.23E-2</v>
      </c>
      <c r="AW222" s="918">
        <f t="shared" ca="1" si="15"/>
        <v>1.343164285048819E-5</v>
      </c>
      <c r="AX222" s="918">
        <f t="shared" ca="1" si="12"/>
        <v>1.2368067620033604E-3</v>
      </c>
      <c r="AY222" s="318">
        <f t="shared" ca="1" si="16"/>
        <v>1</v>
      </c>
    </row>
    <row r="223" spans="2:54" ht="15" customHeight="1">
      <c r="C223" s="28"/>
      <c r="H223" s="23"/>
      <c r="AS223" s="916" t="str">
        <f t="shared" si="13"/>
        <v>Conta de Desenvolvimento Energético – CDE</v>
      </c>
      <c r="AT223" s="917">
        <f t="shared" ca="1" si="13"/>
        <v>995273.42836156057</v>
      </c>
      <c r="AU223" s="917">
        <f ca="1">Encargos!I19</f>
        <v>1447102.0752100002</v>
      </c>
      <c r="AV223" s="918">
        <f t="shared" ref="AV223" ca="1" si="17">IF(AU223=0,0,ROUND(AU223/AT223-1,4))</f>
        <v>0.45400000000000001</v>
      </c>
      <c r="AW223" s="918">
        <f t="shared" ca="1" si="15"/>
        <v>3.8844567372282292E-2</v>
      </c>
      <c r="AX223" s="918">
        <f t="shared" ca="1" si="12"/>
        <v>0.13920614204698795</v>
      </c>
      <c r="AY223" s="318">
        <f t="shared" ca="1" si="16"/>
        <v>1</v>
      </c>
    </row>
    <row r="224" spans="2:54" ht="15" hidden="1" customHeight="1">
      <c r="C224" s="28"/>
      <c r="H224" s="23"/>
      <c r="AS224" s="916" t="s">
        <v>835</v>
      </c>
      <c r="AT224" s="917">
        <f ca="1">J79</f>
        <v>0</v>
      </c>
      <c r="AU224" s="917">
        <f>Encargos!I20</f>
        <v>0</v>
      </c>
      <c r="AV224" s="918">
        <f>IFERROR(IF(AU224=0,0,ROUND(AU224/AT224-1,4)),0)</f>
        <v>0</v>
      </c>
      <c r="AW224" s="918">
        <f t="shared" ca="1" si="15"/>
        <v>0</v>
      </c>
      <c r="AX224" s="918">
        <f t="shared" ca="1" si="12"/>
        <v>0</v>
      </c>
      <c r="AY224" s="318">
        <f t="shared" ca="1" si="16"/>
        <v>0</v>
      </c>
    </row>
    <row r="225" spans="2:51" ht="15" hidden="1" customHeight="1">
      <c r="C225" s="28"/>
      <c r="H225" s="23"/>
      <c r="AS225" s="916" t="s">
        <v>2071</v>
      </c>
      <c r="AT225" s="917"/>
      <c r="AU225" s="917">
        <f>Encargos!I21</f>
        <v>0</v>
      </c>
      <c r="AV225" s="918">
        <f t="shared" ref="AV225:AV226" si="18">IFERROR(IF(AU225=0,0,ROUND(AU225/AT225-1,4)),0)</f>
        <v>0</v>
      </c>
      <c r="AW225" s="918">
        <f t="shared" ca="1" si="15"/>
        <v>0</v>
      </c>
      <c r="AX225" s="918">
        <f t="shared" ref="AX225" ca="1" si="19">AU225/$AU$237</f>
        <v>0</v>
      </c>
      <c r="AY225" s="911">
        <f ca="1">IF(AW225=0,0,1)</f>
        <v>0</v>
      </c>
    </row>
    <row r="226" spans="2:51" ht="12.75">
      <c r="C226" s="28"/>
      <c r="H226" s="23"/>
      <c r="AS226" s="916" t="str">
        <f t="shared" ref="AS226:AT229" si="20">I81</f>
        <v>Encargos Serv. Sist. - ESS e Energ. Reserv. – EER</v>
      </c>
      <c r="AT226" s="917">
        <f t="shared" ca="1" si="20"/>
        <v>0</v>
      </c>
      <c r="AU226" s="917">
        <f>Resultado!D20</f>
        <v>286370.12</v>
      </c>
      <c r="AV226" s="918">
        <f t="shared" ca="1" si="18"/>
        <v>0</v>
      </c>
      <c r="AW226" s="918">
        <f t="shared" ca="1" si="15"/>
        <v>2.4619783400940377E-2</v>
      </c>
      <c r="AX226" s="918">
        <f t="shared" ref="AX226:AX239" ca="1" si="21">AU226/$AU$237</f>
        <v>2.7547800729224949E-2</v>
      </c>
      <c r="AY226" s="318">
        <f ca="1">IF(AW226=0,0,1)</f>
        <v>1</v>
      </c>
    </row>
    <row r="227" spans="2:51" ht="15" customHeight="1">
      <c r="C227" s="28"/>
      <c r="H227" s="23"/>
      <c r="AS227" s="916" t="str">
        <f t="shared" si="20"/>
        <v>PROINFA</v>
      </c>
      <c r="AT227" s="917">
        <f t="shared" ca="1" si="20"/>
        <v>167588.9053746892</v>
      </c>
      <c r="AU227" s="917">
        <f ca="1">Resultado!D21</f>
        <v>254288.34072000007</v>
      </c>
      <c r="AV227" s="918">
        <f ca="1">IF(AU227=0,0,ROUND(AU227/AT227-1,4))</f>
        <v>0.51729999999999998</v>
      </c>
      <c r="AW227" s="918">
        <f t="shared" ca="1" si="15"/>
        <v>7.4537152101811039E-3</v>
      </c>
      <c r="AX227" s="918">
        <f t="shared" ca="1" si="21"/>
        <v>2.446164613095745E-2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6" t="str">
        <f t="shared" si="20"/>
        <v>P&amp;D e Eficiência Energética</v>
      </c>
      <c r="AT228" s="917">
        <f t="shared" ca="1" si="20"/>
        <v>0</v>
      </c>
      <c r="AU228" s="917">
        <f>Resultado!D22</f>
        <v>0</v>
      </c>
      <c r="AV228" s="918">
        <f>IF(AU228=0,0,ROUND(AU228/AT228-1,4))</f>
        <v>0</v>
      </c>
      <c r="AW228" s="918">
        <f t="shared" ca="1" si="15"/>
        <v>0</v>
      </c>
      <c r="AX228" s="918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6" t="str">
        <f t="shared" si="20"/>
        <v>ONS</v>
      </c>
      <c r="AT229" s="917">
        <f t="shared" ca="1" si="20"/>
        <v>0</v>
      </c>
      <c r="AU229" s="917">
        <f>Resultado!D23</f>
        <v>0</v>
      </c>
      <c r="AV229" s="918">
        <f t="shared" si="14"/>
        <v>0</v>
      </c>
      <c r="AW229" s="918">
        <f t="shared" ca="1" si="15"/>
        <v>0</v>
      </c>
      <c r="AX229" s="918">
        <f t="shared" ca="1" si="21"/>
        <v>0</v>
      </c>
      <c r="AY229" s="318">
        <v>0</v>
      </c>
    </row>
    <row r="230" spans="2:51" ht="15" customHeight="1">
      <c r="C230" s="307"/>
      <c r="H230" s="23"/>
      <c r="AS230" s="1093" t="s">
        <v>836</v>
      </c>
      <c r="AT230" s="1094">
        <f ca="1">AT231</f>
        <v>5601476.3360112496</v>
      </c>
      <c r="AU230" s="1094">
        <f ca="1">AU231</f>
        <v>3622798.7063669376</v>
      </c>
      <c r="AV230" s="1095">
        <f ca="1">IF(AU230=0,0,ROUND(AU230/AT230-1,4))</f>
        <v>-0.35320000000000001</v>
      </c>
      <c r="AW230" s="1095">
        <f ca="1">AW231</f>
        <v>-0.17011067586984663</v>
      </c>
      <c r="AX230" s="1095">
        <f t="shared" ca="1" si="21"/>
        <v>0.34850052388527941</v>
      </c>
      <c r="AY230" s="318">
        <f t="shared" ca="1" si="16"/>
        <v>1</v>
      </c>
    </row>
    <row r="231" spans="2:51" ht="15" customHeight="1">
      <c r="C231" s="307"/>
      <c r="H231" s="23"/>
      <c r="AS231" s="916" t="s">
        <v>796</v>
      </c>
      <c r="AT231" s="917">
        <f ca="1">J86</f>
        <v>5601476.3360112496</v>
      </c>
      <c r="AU231" s="917">
        <f ca="1">Resultado!D33</f>
        <v>3622798.7063669376</v>
      </c>
      <c r="AV231" s="918">
        <f ca="1">IF(AU231=0,0,ROUND(AU231/AT231-1,4))</f>
        <v>-0.35320000000000001</v>
      </c>
      <c r="AW231" s="918">
        <f ca="1">(AU231-AT231)/$AT$237</f>
        <v>-0.17011067586984663</v>
      </c>
      <c r="AX231" s="918">
        <f t="shared" ca="1" si="21"/>
        <v>0.34850052388527941</v>
      </c>
      <c r="AY231" s="318">
        <f t="shared" ca="1" si="16"/>
        <v>1</v>
      </c>
    </row>
    <row r="232" spans="2:51" ht="15" customHeight="1">
      <c r="AS232" s="1093" t="s">
        <v>837</v>
      </c>
      <c r="AT232" s="1094">
        <f ca="1">SUM(AT233:AT236)</f>
        <v>1876418.2265742095</v>
      </c>
      <c r="AU232" s="1094">
        <f>SUM(AU233:AU236)</f>
        <v>1881904.5259199997</v>
      </c>
      <c r="AV232" s="1095">
        <f ca="1">IF(AU232=0,0,ROUND(AU232/AT232-1,4))</f>
        <v>2.8999999999999998E-3</v>
      </c>
      <c r="AW232" s="1095">
        <f ca="1">SUM(AW233:AW236)</f>
        <v>4.7166758028412679E-4</v>
      </c>
      <c r="AX232" s="1095">
        <f t="shared" ca="1" si="21"/>
        <v>0.1810326121715167</v>
      </c>
      <c r="AY232" s="318">
        <f t="shared" ca="1" si="16"/>
        <v>1</v>
      </c>
    </row>
    <row r="233" spans="2:51" ht="15" hidden="1" customHeight="1">
      <c r="AS233" s="916" t="str">
        <f>Resultado!B25</f>
        <v>Rede Básica</v>
      </c>
      <c r="AT233" s="917">
        <f ca="1">J88</f>
        <v>0</v>
      </c>
      <c r="AU233" s="917">
        <f>Resultado!D25</f>
        <v>0</v>
      </c>
      <c r="AV233" s="918">
        <f>IF(AU233=0,0,ROUND(AU233/AT233-1,3))</f>
        <v>0</v>
      </c>
      <c r="AW233" s="918">
        <f ca="1">(AU233-AT233)/$AT$237</f>
        <v>0</v>
      </c>
      <c r="AX233" s="918">
        <f t="shared" ca="1" si="21"/>
        <v>0</v>
      </c>
      <c r="AY233" s="318">
        <f t="shared" ca="1" si="16"/>
        <v>0</v>
      </c>
    </row>
    <row r="234" spans="2:51" ht="15" hidden="1" customHeight="1">
      <c r="AS234" s="916" t="str">
        <f>Resultado!B26</f>
        <v>Rede Básica Fronteira</v>
      </c>
      <c r="AT234" s="917">
        <f ca="1">J89</f>
        <v>0</v>
      </c>
      <c r="AU234" s="917">
        <f>Resultado!D26</f>
        <v>0</v>
      </c>
      <c r="AV234" s="918">
        <f t="shared" si="14"/>
        <v>0</v>
      </c>
      <c r="AW234" s="918">
        <f ca="1">(AU234-AT234)/$AT$237</f>
        <v>0</v>
      </c>
      <c r="AX234" s="918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6" t="str">
        <f>Resultado!B31</f>
        <v>Conexão</v>
      </c>
      <c r="AT235" s="917">
        <f ca="1">J94</f>
        <v>0</v>
      </c>
      <c r="AU235" s="917">
        <f>Resultado!D31</f>
        <v>0</v>
      </c>
      <c r="AV235" s="918">
        <f t="shared" si="14"/>
        <v>0</v>
      </c>
      <c r="AW235" s="918">
        <f ca="1">(AU235-AT235)/$AT$237</f>
        <v>0</v>
      </c>
      <c r="AX235" s="918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6" t="str">
        <f>Resultado!B32</f>
        <v>Uso do sistema de distribuição</v>
      </c>
      <c r="AT236" s="917">
        <f ca="1">J95</f>
        <v>1876418.2265742095</v>
      </c>
      <c r="AU236" s="917">
        <f>Resultado!D32</f>
        <v>1881904.5259199997</v>
      </c>
      <c r="AV236" s="918">
        <f ca="1">IF(AU236=0,0,ROUND(AU236/AT236-1,4))</f>
        <v>2.8999999999999998E-3</v>
      </c>
      <c r="AW236" s="918">
        <f ca="1">(AU236-AT236)/$AT$237</f>
        <v>4.7166758028412679E-4</v>
      </c>
      <c r="AX236" s="918">
        <f t="shared" ca="1" si="21"/>
        <v>0.1810326121715167</v>
      </c>
      <c r="AY236" s="318">
        <f t="shared" ca="1" si="16"/>
        <v>1</v>
      </c>
    </row>
    <row r="237" spans="2:51" ht="15" hidden="1" customHeight="1">
      <c r="C237" s="19"/>
      <c r="AS237" s="1093" t="s">
        <v>838</v>
      </c>
      <c r="AT237" s="1094">
        <f ca="1">Mercado_RA0_Reais</f>
        <v>11631707.531150002</v>
      </c>
      <c r="AU237" s="1094">
        <f ca="1">AU219+AU230+AU232+AU239</f>
        <v>10395389.556313846</v>
      </c>
      <c r="AV237" s="1096"/>
      <c r="AW237" s="1096"/>
      <c r="AX237" s="1095">
        <f t="shared" ca="1" si="21"/>
        <v>1</v>
      </c>
      <c r="AY237" s="318">
        <f t="shared" si="16"/>
        <v>0</v>
      </c>
    </row>
    <row r="238" spans="2:51" ht="15" customHeight="1">
      <c r="C238" s="19"/>
      <c r="AS238" s="1097" t="s">
        <v>839</v>
      </c>
      <c r="AT238" s="1098">
        <f ca="1">AT219+AT230+AT232</f>
        <v>8653457.751477316</v>
      </c>
      <c r="AU238" s="1098">
        <f ca="1">AU219+AU230+AU232</f>
        <v>7505320.8563138461</v>
      </c>
      <c r="AV238" s="1099">
        <f ca="1">IF(AU238=0,0,ROUND(AU238/AT238-1,4))</f>
        <v>-0.13270000000000001</v>
      </c>
      <c r="AW238" s="1099">
        <f ca="1">(AU238-AT238)/AT237</f>
        <v>-9.8707510663308101E-2</v>
      </c>
      <c r="AX238" s="1099">
        <f t="shared" ca="1" si="21"/>
        <v>0.7219855317259698</v>
      </c>
      <c r="AY238" s="318">
        <f t="shared" ca="1" si="16"/>
        <v>1</v>
      </c>
    </row>
    <row r="239" spans="2:51" ht="15" customHeight="1">
      <c r="B239" s="28"/>
      <c r="C239" s="19"/>
      <c r="AS239" s="1097" t="s">
        <v>840</v>
      </c>
      <c r="AT239" s="1098">
        <f ca="1">AT237-AT238</f>
        <v>2978249.779672686</v>
      </c>
      <c r="AU239" s="1098">
        <f>Resultado!D39</f>
        <v>2890068.7</v>
      </c>
      <c r="AV239" s="1099">
        <f ca="1">IF(AU239=0,0,ROUND(AU239/AT239-1,4))</f>
        <v>-2.9600000000000001E-2</v>
      </c>
      <c r="AW239" s="1099">
        <f ca="1">(AU239-AT239)/AT237</f>
        <v>-7.5810949885504516E-3</v>
      </c>
      <c r="AX239" s="1099">
        <f t="shared" ca="1" si="21"/>
        <v>0.27801446827403015</v>
      </c>
      <c r="AY239" s="318">
        <f t="shared" ca="1" si="16"/>
        <v>1</v>
      </c>
    </row>
    <row r="240" spans="2:51" ht="15" customHeight="1">
      <c r="AS240" s="1100" t="str">
        <f>Resultado!B7</f>
        <v>Variação econômica</v>
      </c>
      <c r="AT240" s="1100"/>
      <c r="AU240" s="1100"/>
      <c r="AV240" s="1101"/>
      <c r="AW240" s="1102">
        <f ca="1">ROUND((AU239+AU238)/(AT238+AT239)-1,4)</f>
        <v>-0.10630000000000001</v>
      </c>
      <c r="AX240" s="1101"/>
      <c r="AY240" s="318">
        <v>1</v>
      </c>
    </row>
    <row r="241" spans="2:51" ht="15" hidden="1" customHeight="1">
      <c r="AS241" s="919"/>
      <c r="AT241" s="919"/>
      <c r="AU241" s="919"/>
      <c r="AV241" s="920"/>
      <c r="AW241" s="921"/>
      <c r="AX241" s="921"/>
      <c r="AY241" s="318">
        <f t="shared" si="16"/>
        <v>0</v>
      </c>
    </row>
    <row r="242" spans="2:51" ht="15" customHeight="1">
      <c r="AS242" s="1093" t="s">
        <v>841</v>
      </c>
      <c r="AT242" s="1103"/>
      <c r="AU242" s="1103"/>
      <c r="AV242" s="1104"/>
      <c r="AW242" s="1095" t="s">
        <v>842</v>
      </c>
      <c r="AX242" s="1095"/>
      <c r="AY242" s="318">
        <v>1</v>
      </c>
    </row>
    <row r="243" spans="2:51" ht="15" customHeight="1">
      <c r="AS243" s="922" t="str">
        <f>AM167</f>
        <v>Repasse de PIS COFINS</v>
      </c>
      <c r="AT243" s="922"/>
      <c r="AU243" s="923">
        <f ca="1">AN167</f>
        <v>261031.8883470876</v>
      </c>
      <c r="AV243" s="924"/>
      <c r="AW243" s="924">
        <f ca="1">AU243/Financeiros!$D$4</f>
        <v>2.2441407475904781E-2</v>
      </c>
      <c r="AX243" s="921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2" t="str">
        <f t="shared" ref="AS244:AS271" si="22">AM168</f>
        <v>Neutralidade Encargos Setoriais</v>
      </c>
      <c r="AT244" s="922"/>
      <c r="AU244" s="923">
        <f t="shared" ref="AU244:AU283" ca="1" si="23">AN168</f>
        <v>-113795.45663428237</v>
      </c>
      <c r="AV244" s="924"/>
      <c r="AW244" s="924">
        <f ca="1">AU244/Financeiros!$D$4</f>
        <v>-9.7832116505281192E-3</v>
      </c>
      <c r="AX244" s="921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2" t="str">
        <f t="shared" si="22"/>
        <v>Neutralidade Financeiros e Encargos Conta Covid</v>
      </c>
      <c r="AT245" s="922"/>
      <c r="AU245" s="923">
        <f t="shared" ca="1" si="23"/>
        <v>0</v>
      </c>
      <c r="AV245" s="924"/>
      <c r="AW245" s="924">
        <f ca="1">AU245/Financeiros!$D$4</f>
        <v>0</v>
      </c>
      <c r="AX245" s="921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2" t="str">
        <f t="shared" si="22"/>
        <v>Neutralidades Crédito de Pis cofins</v>
      </c>
      <c r="AT246" s="922"/>
      <c r="AU246" s="923">
        <f t="shared" ca="1" si="23"/>
        <v>0</v>
      </c>
      <c r="AV246" s="924"/>
      <c r="AW246" s="924">
        <f ca="1">AU246/Financeiros!$D$4</f>
        <v>0</v>
      </c>
      <c r="AX246" s="921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2" t="str">
        <f t="shared" si="22"/>
        <v>Ajuste CUST RB + PIS Cofins</v>
      </c>
      <c r="AT247" s="922"/>
      <c r="AU247" s="923">
        <f t="shared" si="23"/>
        <v>0</v>
      </c>
      <c r="AV247" s="924"/>
      <c r="AW247" s="924">
        <f ca="1">AU247/Financeiros!$D$4</f>
        <v>0</v>
      </c>
      <c r="AX247" s="921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2">
        <f t="shared" si="22"/>
        <v>0</v>
      </c>
      <c r="AT248" s="922"/>
      <c r="AU248" s="923">
        <f t="shared" si="23"/>
        <v>0</v>
      </c>
      <c r="AV248" s="924"/>
      <c r="AW248" s="924">
        <f ca="1">AU248/Financeiros!$D$4</f>
        <v>0</v>
      </c>
      <c r="AX248" s="921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2">
        <f t="shared" si="22"/>
        <v>0</v>
      </c>
      <c r="AT249" s="922"/>
      <c r="AU249" s="923">
        <f t="shared" si="23"/>
        <v>0</v>
      </c>
      <c r="AV249" s="924"/>
      <c r="AW249" s="924">
        <f ca="1">AU249/Financeiros!$D$4</f>
        <v>0</v>
      </c>
      <c r="AX249" s="921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2" t="str">
        <f t="shared" si="22"/>
        <v>Manual de Contabilidade do Setor Elétrico</v>
      </c>
      <c r="AT250" s="922"/>
      <c r="AU250" s="923">
        <f t="shared" si="23"/>
        <v>0</v>
      </c>
      <c r="AV250" s="924"/>
      <c r="AW250" s="924">
        <f ca="1">AU250/Financeiros!$D$4</f>
        <v>0</v>
      </c>
      <c r="AX250" s="921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2" t="str">
        <f t="shared" si="22"/>
        <v>Financeiro CDE Eletrobras</v>
      </c>
      <c r="AT251" s="922"/>
      <c r="AU251" s="923">
        <f t="shared" si="23"/>
        <v>0</v>
      </c>
      <c r="AV251" s="924"/>
      <c r="AW251" s="924">
        <f ca="1">AU251/Financeiros!$D$4</f>
        <v>0</v>
      </c>
      <c r="AX251" s="921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2" t="str">
        <f t="shared" si="22"/>
        <v>Ajustes Processo Anterior</v>
      </c>
      <c r="AT252" s="922"/>
      <c r="AU252" s="923">
        <f t="shared" si="23"/>
        <v>0</v>
      </c>
      <c r="AV252" s="924"/>
      <c r="AW252" s="924">
        <f ca="1">AU252/Financeiros!$D$4</f>
        <v>0</v>
      </c>
      <c r="AX252" s="921"/>
      <c r="AY252" s="318">
        <f t="shared" ca="1" si="24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2" t="str">
        <f t="shared" si="22"/>
        <v>Compensação DIC FIC</v>
      </c>
      <c r="AT253" s="922"/>
      <c r="AU253" s="923">
        <f t="shared" si="23"/>
        <v>-33595.792543624571</v>
      </c>
      <c r="AV253" s="924"/>
      <c r="AW253" s="924">
        <f ca="1">AU253/Financeiros!$D$4</f>
        <v>-2.888294126520479E-3</v>
      </c>
      <c r="AX253" s="921"/>
      <c r="AY253" s="911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2" t="str">
        <f t="shared" si="22"/>
        <v>Subvenção CDE</v>
      </c>
      <c r="AT254" s="922"/>
      <c r="AU254" s="923">
        <f t="shared" ca="1" si="23"/>
        <v>-1494125.1525960967</v>
      </c>
      <c r="AV254" s="924"/>
      <c r="AW254" s="924">
        <f ca="1">AU254/Financeiros!$D$4</f>
        <v>-0.1284527786307206</v>
      </c>
      <c r="AX254" s="921"/>
      <c r="AY254" s="911">
        <f t="shared" ref="AY254:AY256" ca="1" si="25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2" t="str">
        <f t="shared" si="22"/>
        <v>Retenção de Adicionais de Bandeiras Tarifárias</v>
      </c>
      <c r="AT255" s="922"/>
      <c r="AU255" s="923">
        <f t="shared" si="23"/>
        <v>-95594.391468786154</v>
      </c>
      <c r="AV255" s="924"/>
      <c r="AW255" s="924">
        <f ca="1">AU255/Financeiros!$D$4</f>
        <v>-8.2184314910585567E-3</v>
      </c>
      <c r="AX255" s="921"/>
      <c r="AY255" s="911">
        <f t="shared" ca="1" si="25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2" t="str">
        <f t="shared" si="22"/>
        <v>Multa LPT</v>
      </c>
      <c r="AT256" s="922"/>
      <c r="AU256" s="923">
        <f t="shared" si="23"/>
        <v>0</v>
      </c>
      <c r="AV256" s="924"/>
      <c r="AW256" s="924">
        <f ca="1">AU256/Financeiros!$D$4</f>
        <v>0</v>
      </c>
      <c r="AX256" s="921"/>
      <c r="AY256" s="911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2" t="str">
        <f t="shared" si="22"/>
        <v xml:space="preserve">Repasse de ICMS </v>
      </c>
      <c r="AT257" s="922"/>
      <c r="AU257" s="923">
        <f t="shared" si="23"/>
        <v>0</v>
      </c>
      <c r="AV257" s="924"/>
      <c r="AW257" s="924">
        <f ca="1">AU257/Financeiros!$D$4</f>
        <v>0</v>
      </c>
      <c r="AX257" s="921"/>
      <c r="AY257" s="911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2">
        <f t="shared" si="22"/>
        <v>0</v>
      </c>
      <c r="AT258" s="922"/>
      <c r="AU258" s="923">
        <f t="shared" si="23"/>
        <v>0</v>
      </c>
      <c r="AV258" s="924"/>
      <c r="AW258" s="924">
        <f ca="1">AU258/Financeiros!$D$4</f>
        <v>0</v>
      </c>
      <c r="AX258" s="921"/>
      <c r="AY258" s="911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2" t="str">
        <f t="shared" si="22"/>
        <v>Ressarcimento P&amp;D</v>
      </c>
      <c r="AT259" s="922"/>
      <c r="AU259" s="923">
        <f t="shared" si="23"/>
        <v>0</v>
      </c>
      <c r="AV259" s="924"/>
      <c r="AW259" s="924">
        <f ca="1">AU259/Financeiros!$D$4</f>
        <v>0</v>
      </c>
      <c r="AX259" s="921"/>
      <c r="AY259" s="911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2" t="str">
        <f t="shared" si="22"/>
        <v>Efeito Conta COVID</v>
      </c>
      <c r="AT260" s="922"/>
      <c r="AU260" s="923">
        <f t="shared" si="23"/>
        <v>0</v>
      </c>
      <c r="AV260" s="924"/>
      <c r="AW260" s="924">
        <f ca="1">AU260/Financeiros!$D$4</f>
        <v>0</v>
      </c>
      <c r="AX260" s="921"/>
      <c r="AY260" s="911">
        <f t="shared" ca="1" si="27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2" t="str">
        <f t="shared" si="22"/>
        <v>Diferimento de Parcela B</v>
      </c>
      <c r="AT261" s="922"/>
      <c r="AU261" s="923">
        <f t="shared" si="23"/>
        <v>0</v>
      </c>
      <c r="AV261" s="924"/>
      <c r="AW261" s="924">
        <f ca="1">AU261/Financeiros!$D$4</f>
        <v>0</v>
      </c>
      <c r="AX261" s="921"/>
      <c r="AY261" s="911">
        <f t="shared" ca="1" si="26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2" t="str">
        <f t="shared" si="22"/>
        <v>Efeito COVID da Supridora</v>
      </c>
      <c r="AT262" s="922"/>
      <c r="AU262" s="923">
        <f t="shared" si="23"/>
        <v>0</v>
      </c>
      <c r="AV262" s="924"/>
      <c r="AW262" s="924">
        <f ca="1">AU262/Financeiros!$D$4</f>
        <v>0</v>
      </c>
      <c r="AX262" s="921"/>
      <c r="AY262" s="914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2" t="str">
        <f t="shared" si="22"/>
        <v>Crédito de Pis Cofins sobre ICMS</v>
      </c>
      <c r="AT263" s="922"/>
      <c r="AU263" s="923">
        <f t="shared" si="23"/>
        <v>0</v>
      </c>
      <c r="AV263" s="924"/>
      <c r="AW263" s="924">
        <f ca="1">AU263/Financeiros!$D$4</f>
        <v>0</v>
      </c>
      <c r="AX263" s="921"/>
      <c r="AY263" s="914">
        <f t="shared" ca="1" si="28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2" t="str">
        <f t="shared" si="22"/>
        <v>Diferimento de PIS COFINS</v>
      </c>
      <c r="AT264" s="922"/>
      <c r="AU264" s="923">
        <f t="shared" si="23"/>
        <v>0</v>
      </c>
      <c r="AV264" s="924"/>
      <c r="AW264" s="924">
        <f ca="1">AU264/Financeiros!$D$4</f>
        <v>0</v>
      </c>
      <c r="AX264" s="921"/>
      <c r="AY264" s="914">
        <f t="shared" ref="AY264:AY271" ca="1" si="29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2">
        <f t="shared" si="22"/>
        <v>0</v>
      </c>
      <c r="AT265" s="922"/>
      <c r="AU265" s="923">
        <f t="shared" si="23"/>
        <v>0</v>
      </c>
      <c r="AV265" s="924"/>
      <c r="AW265" s="924">
        <f ca="1">AU265/Financeiros!$D$4</f>
        <v>0</v>
      </c>
      <c r="AX265" s="921"/>
      <c r="AY265" s="914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2" t="str">
        <f t="shared" si="22"/>
        <v>Financeiros associados ao §7º do Art. 88 da Ren 414/2021</v>
      </c>
      <c r="AT266" s="922"/>
      <c r="AU266" s="923">
        <f t="shared" si="23"/>
        <v>0</v>
      </c>
      <c r="AV266" s="924"/>
      <c r="AW266" s="924">
        <f ca="1">AU266/Financeiros!$D$4</f>
        <v>0</v>
      </c>
      <c r="AX266" s="921"/>
      <c r="AY266" s="914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2" t="str">
        <f t="shared" si="22"/>
        <v>Spread Conta Covid</v>
      </c>
      <c r="AT267" s="922"/>
      <c r="AU267" s="923">
        <f t="shared" si="23"/>
        <v>0</v>
      </c>
      <c r="AV267" s="924"/>
      <c r="AW267" s="924">
        <f ca="1">AU267/Financeiros!$D$4</f>
        <v>0</v>
      </c>
      <c r="AX267" s="921"/>
      <c r="AY267" s="914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2" t="str">
        <f t="shared" si="22"/>
        <v>Diferimento de Energia</v>
      </c>
      <c r="AT268" s="922"/>
      <c r="AU268" s="923">
        <f t="shared" si="23"/>
        <v>0</v>
      </c>
      <c r="AV268" s="924"/>
      <c r="AW268" s="924">
        <f ca="1">AU268/Financeiros!$D$4</f>
        <v>0</v>
      </c>
      <c r="AX268" s="921"/>
      <c r="AY268" s="914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2" t="str">
        <f t="shared" si="22"/>
        <v xml:space="preserve">Reversão do Diferimento de Compra de Energia </v>
      </c>
      <c r="AT269" s="922"/>
      <c r="AU269" s="923">
        <f t="shared" si="23"/>
        <v>0</v>
      </c>
      <c r="AV269" s="924"/>
      <c r="AW269" s="924">
        <f ca="1">AU269/Financeiros!$D$4</f>
        <v>0</v>
      </c>
      <c r="AX269" s="921"/>
      <c r="AY269" s="914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2" t="str">
        <f t="shared" si="22"/>
        <v>Reversão do Diferimento de Parcela B</v>
      </c>
      <c r="AT270" s="922"/>
      <c r="AU270" s="923">
        <f t="shared" si="23"/>
        <v>0</v>
      </c>
      <c r="AV270" s="924"/>
      <c r="AW270" s="924">
        <f ca="1">AU270/Financeiros!$D$4</f>
        <v>0</v>
      </c>
      <c r="AX270" s="921"/>
      <c r="AY270" s="914">
        <f t="shared" ca="1" si="29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2" t="str">
        <f t="shared" si="22"/>
        <v>Reversão do Diferimento de Pis Cofins</v>
      </c>
      <c r="AT271" s="922"/>
      <c r="AU271" s="923">
        <f t="shared" si="23"/>
        <v>0</v>
      </c>
      <c r="AV271" s="924"/>
      <c r="AW271" s="924">
        <f ca="1">AU271/Financeiros!$D$4</f>
        <v>0</v>
      </c>
      <c r="AX271" s="921"/>
      <c r="AY271" s="914">
        <f t="shared" ca="1" si="29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2">
        <f t="shared" ref="AS272:AS276" si="30">AM196</f>
        <v>0</v>
      </c>
      <c r="AT272" s="922"/>
      <c r="AU272" s="923">
        <f t="shared" si="23"/>
        <v>0</v>
      </c>
      <c r="AV272" s="924"/>
      <c r="AW272" s="924">
        <f ca="1">AU272/Financeiros!$D$4</f>
        <v>0</v>
      </c>
      <c r="AX272" s="921"/>
      <c r="AY272" s="911">
        <f t="shared" ref="AY272:AY276" ca="1" si="31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2" t="str">
        <f t="shared" si="30"/>
        <v>CVE - Energia</v>
      </c>
      <c r="AT273" s="922"/>
      <c r="AU273" s="923">
        <f t="shared" ca="1" si="23"/>
        <v>0</v>
      </c>
      <c r="AV273" s="924"/>
      <c r="AW273" s="924">
        <f ca="1">AU273/Financeiros!$D$4</f>
        <v>0</v>
      </c>
      <c r="AX273" s="921"/>
      <c r="AY273" s="911">
        <f t="shared" ca="1" si="31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2" t="str">
        <f t="shared" si="30"/>
        <v>CVE - Encargos</v>
      </c>
      <c r="AT274" s="922"/>
      <c r="AU274" s="923">
        <f t="shared" si="23"/>
        <v>0</v>
      </c>
      <c r="AV274" s="924"/>
      <c r="AW274" s="924">
        <f ca="1">AU274/Financeiros!$D$4</f>
        <v>0</v>
      </c>
      <c r="AX274" s="921"/>
      <c r="AY274" s="911">
        <f t="shared" ca="1" si="31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2" t="str">
        <f t="shared" si="30"/>
        <v>Conta Escassez</v>
      </c>
      <c r="AT275" s="922"/>
      <c r="AU275" s="923">
        <f t="shared" ca="1" si="23"/>
        <v>0</v>
      </c>
      <c r="AV275" s="924"/>
      <c r="AW275" s="924">
        <f ca="1">AU275/Financeiros!$D$4</f>
        <v>0</v>
      </c>
      <c r="AX275" s="921"/>
      <c r="AY275" s="911">
        <f t="shared" ca="1" si="31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2">
        <f t="shared" si="30"/>
        <v>0</v>
      </c>
      <c r="AT276" s="922"/>
      <c r="AU276" s="923">
        <f t="shared" si="23"/>
        <v>0</v>
      </c>
      <c r="AV276" s="924"/>
      <c r="AW276" s="924">
        <f ca="1">AU276/Financeiros!$D$4</f>
        <v>0</v>
      </c>
      <c r="AX276" s="921"/>
      <c r="AY276" s="911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2">
        <f t="shared" ref="AS277:AS281" si="32">AM201</f>
        <v>0</v>
      </c>
      <c r="AT277" s="922"/>
      <c r="AU277" s="923">
        <f t="shared" si="23"/>
        <v>0</v>
      </c>
      <c r="AV277" s="924"/>
      <c r="AW277" s="924">
        <f ca="1">AU277/Financeiros!$D$4</f>
        <v>0</v>
      </c>
      <c r="AX277" s="921"/>
      <c r="AY277" s="911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2" t="str">
        <f t="shared" si="32"/>
        <v>Sobrecontratação/Exposição de Energia</v>
      </c>
      <c r="AT278" s="922"/>
      <c r="AU278" s="923">
        <f t="shared" ca="1" si="23"/>
        <v>0</v>
      </c>
      <c r="AV278" s="924"/>
      <c r="AW278" s="924">
        <f ca="1">AU278/Financeiros!$D$4</f>
        <v>0</v>
      </c>
      <c r="AX278" s="921"/>
      <c r="AY278" s="911">
        <f t="shared" ca="1" si="33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2" t="str">
        <f t="shared" si="32"/>
        <v>Reversão de Risco Hidrológico</v>
      </c>
      <c r="AT279" s="922"/>
      <c r="AU279" s="923">
        <f t="shared" ca="1" si="23"/>
        <v>0</v>
      </c>
      <c r="AV279" s="924"/>
      <c r="AW279" s="924">
        <f ca="1">AU279/Financeiros!$D$4</f>
        <v>0</v>
      </c>
      <c r="AX279" s="921"/>
      <c r="AY279" s="911">
        <f t="shared" ca="1" si="33"/>
        <v>0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2" t="str">
        <f t="shared" si="32"/>
        <v>Previsão de Risco Hidrologico</v>
      </c>
      <c r="AT280" s="922"/>
      <c r="AU280" s="923">
        <f t="shared" ca="1" si="23"/>
        <v>159097.40215068549</v>
      </c>
      <c r="AV280" s="924"/>
      <c r="AW280" s="924">
        <f ca="1">AU280/Financeiros!$D$4</f>
        <v>1.3677905993132882E-2</v>
      </c>
      <c r="AX280" s="921"/>
      <c r="AY280" s="911">
        <f t="shared" ca="1" si="33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2" t="str">
        <f t="shared" si="32"/>
        <v>Diferimento da Previsão do Risco Hidrológico</v>
      </c>
      <c r="AT281" s="922"/>
      <c r="AU281" s="923">
        <f t="shared" si="23"/>
        <v>0</v>
      </c>
      <c r="AV281" s="924"/>
      <c r="AW281" s="924">
        <f ca="1">AU281/Financeiros!$D$4</f>
        <v>0</v>
      </c>
      <c r="AX281" s="921"/>
      <c r="AY281" s="911">
        <f t="shared" ca="1" si="33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2" t="str">
        <f t="shared" ref="AS282:AS283" si="34">AM206</f>
        <v xml:space="preserve">Diferimento CUSD </v>
      </c>
      <c r="AT282" s="922"/>
      <c r="AU282" s="923">
        <f t="shared" si="23"/>
        <v>0</v>
      </c>
      <c r="AV282" s="924"/>
      <c r="AW282" s="924">
        <f ca="1">AU282/Financeiros!$D$4</f>
        <v>0</v>
      </c>
      <c r="AX282" s="921"/>
      <c r="AY282" s="911">
        <f t="shared" ref="AY282:AY283" ca="1" si="35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2">
        <f t="shared" si="34"/>
        <v>0</v>
      </c>
      <c r="AT283" s="922"/>
      <c r="AU283" s="923">
        <f t="shared" si="23"/>
        <v>0</v>
      </c>
      <c r="AV283" s="924"/>
      <c r="AW283" s="924">
        <f ca="1">AU283/Financeiros!$D$4</f>
        <v>0</v>
      </c>
      <c r="AX283" s="921"/>
      <c r="AY283" s="911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0" t="s">
        <v>843</v>
      </c>
      <c r="AT284" s="1100"/>
      <c r="AU284" s="1105">
        <f ca="1">SUM(AU243:AU283)</f>
        <v>-1316981.5027450167</v>
      </c>
      <c r="AV284" s="1106"/>
      <c r="AW284" s="1106">
        <f ca="1">ROUND(SUM(AW243:AW283),4)</f>
        <v>-0.1132</v>
      </c>
      <c r="AX284" s="1106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7" t="str">
        <f>Resultado!B9</f>
        <v>Variação econômica e financeira</v>
      </c>
      <c r="AT285" s="1107"/>
      <c r="AU285" s="1107"/>
      <c r="AV285" s="1108"/>
      <c r="AW285" s="1108">
        <f ca="1">ROUND(AW240+AW284,4)</f>
        <v>-0.2195</v>
      </c>
      <c r="AX285" s="1108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0" t="s">
        <v>844</v>
      </c>
      <c r="AT286" s="1100"/>
      <c r="AU286" s="1100"/>
      <c r="AV286" s="1100"/>
      <c r="AW286" s="1109">
        <f ca="1">ROUND(AW288-AW285,4)</f>
        <v>0.1013</v>
      </c>
      <c r="AX286" s="1109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0" t="s">
        <v>845</v>
      </c>
      <c r="AT287" s="1110"/>
      <c r="AU287" s="1105"/>
      <c r="AV287" s="1105"/>
      <c r="AW287" s="1111">
        <v>0</v>
      </c>
      <c r="AX287" s="1112"/>
      <c r="AY287" s="318">
        <f t="shared" si="16"/>
        <v>0</v>
      </c>
      <c r="BA287" s="768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48" t="s">
        <v>846</v>
      </c>
      <c r="AT288" s="1848"/>
      <c r="AU288" s="1848"/>
      <c r="AV288" s="1848"/>
      <c r="AW288" s="1108">
        <f>Resultado!L5</f>
        <v>-0.11820791344066306</v>
      </c>
      <c r="AX288" s="1108"/>
      <c r="AY288" s="318"/>
    </row>
    <row r="289" spans="2:84" ht="15" customHeight="1">
      <c r="AW289" s="770">
        <v>-0.1116</v>
      </c>
      <c r="BA289" s="1091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7" t="s">
        <v>849</v>
      </c>
      <c r="BB290" s="927" t="str">
        <f>"Cobertura "&amp;YEAR(CAPA!C14)&amp;"/"&amp;YEAR(CAPA!C14)+1</f>
        <v>Cobertura 2021/2022</v>
      </c>
      <c r="BC290" s="927" t="str">
        <f>"Cobertura "&amp;YEAR(CAPA!C14)&amp;"/"&amp;YEAR(CAPA!C14)+1&amp;" Atualizada"</f>
        <v>Cobertura 2021/2022 Atualizada</v>
      </c>
      <c r="BD290" s="927" t="s">
        <v>850</v>
      </c>
      <c r="BE290" s="927" t="s">
        <v>851</v>
      </c>
      <c r="BF290" s="927" t="s">
        <v>852</v>
      </c>
      <c r="BG290" s="927" t="str">
        <f>"Previsão "&amp;YEAR(CAPA!C14)+1&amp;"/"&amp;YEAR(CAPA!C14)+2</f>
        <v>Previsão 2022/2023</v>
      </c>
      <c r="BH290" s="927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28" t="e">
        <f>Indexador!#REF!</f>
        <v>#REF!</v>
      </c>
      <c r="BC291" s="928" t="e">
        <f>Indexador!#REF!</f>
        <v>#REF!</v>
      </c>
      <c r="BD291" s="928" t="e">
        <f>Indexador!#REF!</f>
        <v>#REF!</v>
      </c>
      <c r="BE291" s="928" t="e">
        <f>Indexador!#REF!</f>
        <v>#REF!</v>
      </c>
      <c r="BF291" s="928">
        <f>BP311</f>
        <v>0</v>
      </c>
      <c r="BG291" s="928">
        <f t="shared" ref="BG291:BH296" si="36">BQ311</f>
        <v>0</v>
      </c>
      <c r="BH291" s="928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28" t="e">
        <f>Indexador!#REF!</f>
        <v>#REF!</v>
      </c>
      <c r="BC292" s="928" t="e">
        <f>Indexador!#REF!</f>
        <v>#REF!</v>
      </c>
      <c r="BD292" s="928" t="e">
        <f>Indexador!#REF!</f>
        <v>#REF!</v>
      </c>
      <c r="BE292" s="928" t="e">
        <f>Indexador!#REF!</f>
        <v>#REF!</v>
      </c>
      <c r="BF292" s="929">
        <f t="shared" ref="BF292:BF296" si="39">BP312</f>
        <v>0</v>
      </c>
      <c r="BG292" s="929">
        <f t="shared" si="36"/>
        <v>0</v>
      </c>
      <c r="BH292" s="929">
        <f t="shared" si="36"/>
        <v>0</v>
      </c>
      <c r="BI292" s="352" t="e">
        <f>Indexador!#REF!</f>
        <v>#REF!</v>
      </c>
      <c r="BJ292" s="333">
        <f t="shared" si="37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28" t="e">
        <f>Indexador!#REF!</f>
        <v>#REF!</v>
      </c>
      <c r="BC293" s="928" t="e">
        <f>Indexador!#REF!</f>
        <v>#REF!</v>
      </c>
      <c r="BD293" s="928" t="e">
        <f>Indexador!#REF!</f>
        <v>#REF!</v>
      </c>
      <c r="BE293" s="928" t="e">
        <f>Indexador!#REF!</f>
        <v>#REF!</v>
      </c>
      <c r="BF293" s="929">
        <f t="shared" si="39"/>
        <v>0</v>
      </c>
      <c r="BG293" s="929">
        <f t="shared" si="36"/>
        <v>0</v>
      </c>
      <c r="BH293" s="929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28" t="e">
        <f>Indexador!#REF!</f>
        <v>#REF!</v>
      </c>
      <c r="BC294" s="928" t="e">
        <f>Indexador!#REF!</f>
        <v>#REF!</v>
      </c>
      <c r="BD294" s="928" t="e">
        <f>Indexador!#REF!</f>
        <v>#REF!</v>
      </c>
      <c r="BE294" s="928" t="e">
        <f>Indexador!#REF!</f>
        <v>#REF!</v>
      </c>
      <c r="BF294" s="929">
        <f t="shared" si="39"/>
        <v>-3.2734399668789869</v>
      </c>
      <c r="BG294" s="929">
        <f t="shared" si="36"/>
        <v>9.8328052924938252</v>
      </c>
      <c r="BH294" s="929">
        <f t="shared" si="36"/>
        <v>6.5593653256148379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28" t="e">
        <f>Indexador!#REF!</f>
        <v>#REF!</v>
      </c>
      <c r="BC295" s="928" t="e">
        <f>Indexador!#REF!</f>
        <v>#REF!</v>
      </c>
      <c r="BD295" s="928" t="e">
        <f>Indexador!#REF!</f>
        <v>#REF!</v>
      </c>
      <c r="BE295" s="928" t="e">
        <f>Indexador!#REF!</f>
        <v>#REF!</v>
      </c>
      <c r="BF295" s="929">
        <f t="shared" si="39"/>
        <v>-1894.5678992950805</v>
      </c>
      <c r="BG295" s="929">
        <f t="shared" si="36"/>
        <v>15283.095810326413</v>
      </c>
      <c r="BH295" s="929">
        <f t="shared" si="36"/>
        <v>13388.527911031333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28" t="e">
        <f>Indexador!#REF!</f>
        <v>#REF!</v>
      </c>
      <c r="BC296" s="928" t="e">
        <f>Indexador!#REF!</f>
        <v>#REF!</v>
      </c>
      <c r="BD296" s="928" t="e">
        <f>Indexador!#REF!</f>
        <v>#REF!</v>
      </c>
      <c r="BE296" s="928" t="e">
        <f>Indexador!#REF!</f>
        <v>#REF!</v>
      </c>
      <c r="BF296" s="929">
        <f t="shared" si="39"/>
        <v>-7.062143909279726</v>
      </c>
      <c r="BG296" s="929">
        <f t="shared" si="36"/>
        <v>1.3307676296632556</v>
      </c>
      <c r="BH296" s="929">
        <f t="shared" si="36"/>
        <v>-5.7313762796164704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0" t="s">
        <v>760</v>
      </c>
      <c r="BB297" s="1113" t="e">
        <f t="shared" ref="BB297:BI297" si="40">SUM(BB291:BB296)</f>
        <v>#REF!</v>
      </c>
      <c r="BC297" s="1113" t="e">
        <f t="shared" si="40"/>
        <v>#REF!</v>
      </c>
      <c r="BD297" s="1113" t="e">
        <f t="shared" si="40"/>
        <v>#REF!</v>
      </c>
      <c r="BE297" s="1113" t="e">
        <f t="shared" si="40"/>
        <v>#REF!</v>
      </c>
      <c r="BF297" s="1114">
        <f t="shared" si="40"/>
        <v>-1904.9034831712393</v>
      </c>
      <c r="BG297" s="1114">
        <f t="shared" si="40"/>
        <v>15294.259383248569</v>
      </c>
      <c r="BH297" s="1114">
        <f t="shared" si="40"/>
        <v>13389.355900077331</v>
      </c>
      <c r="BI297" s="1115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1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6" t="s">
        <v>853</v>
      </c>
      <c r="BL299" s="1116" t="s">
        <v>793</v>
      </c>
      <c r="BM299" s="1116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7" t="s">
        <v>854</v>
      </c>
      <c r="BL308" s="1115">
        <f ca="1">SUM(BL300:BL307)</f>
        <v>0</v>
      </c>
      <c r="BM308" s="1115">
        <f>SUM(BM300:BM307)</f>
        <v>0</v>
      </c>
      <c r="BN308" s="333">
        <f ca="1">IF(BL308=0,0,1)</f>
        <v>0</v>
      </c>
      <c r="BO308" s="1091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(Coopermila).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18" t="s">
        <v>856</v>
      </c>
      <c r="BP310" s="1118" t="s">
        <v>857</v>
      </c>
      <c r="BQ310" s="1118" t="s">
        <v>858</v>
      </c>
      <c r="BR310" s="1119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0" t="s">
        <v>860</v>
      </c>
      <c r="BP311" s="1121">
        <f>IFERROR(Aj.Subsídio!L5,0)</f>
        <v>0</v>
      </c>
      <c r="BQ311" s="1121">
        <f>IFERROR(Aj.Subsídio!M5,0)</f>
        <v>0</v>
      </c>
      <c r="BR311" s="1121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0" t="s">
        <v>861</v>
      </c>
      <c r="BP312" s="1121">
        <f>IFERROR(Aj.Subsídio!L6,0)</f>
        <v>0</v>
      </c>
      <c r="BQ312" s="1121">
        <f>IFERROR(Aj.Subsídio!M6,0)</f>
        <v>0</v>
      </c>
      <c r="BR312" s="1122">
        <f t="shared" si="42"/>
        <v>0</v>
      </c>
      <c r="BS312" s="358">
        <f t="shared" si="43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0" t="s">
        <v>862</v>
      </c>
      <c r="BP313" s="1121">
        <f>IFERROR(Aj.Subsídio!L7,0)</f>
        <v>0</v>
      </c>
      <c r="BQ313" s="1121">
        <f>IFERROR(Aj.Subsídio!M7,0)</f>
        <v>0</v>
      </c>
      <c r="BR313" s="1122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0" t="s">
        <v>863</v>
      </c>
      <c r="BP314" s="1121">
        <f>IFERROR(Aj.Subsídio!L8,0)</f>
        <v>-3.2734399668789869</v>
      </c>
      <c r="BQ314" s="1121">
        <f>IFERROR(Aj.Subsídio!M8,0)</f>
        <v>9.8328052924938252</v>
      </c>
      <c r="BR314" s="1122">
        <f t="shared" si="42"/>
        <v>6.5593653256148379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0" t="s">
        <v>864</v>
      </c>
      <c r="BP315" s="1121">
        <f>IFERROR(Aj.Subsídio!L9,0)</f>
        <v>-1894.5678992950805</v>
      </c>
      <c r="BQ315" s="1121">
        <f>IFERROR(Aj.Subsídio!M9,0)</f>
        <v>15283.095810326413</v>
      </c>
      <c r="BR315" s="1122">
        <f t="shared" si="42"/>
        <v>13388.527911031333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0" t="s">
        <v>865</v>
      </c>
      <c r="BP316" s="1121">
        <f>IFERROR(Aj.Subsídio!L10,0)</f>
        <v>-7.062143909279726</v>
      </c>
      <c r="BQ316" s="1121">
        <f>IFERROR(Aj.Subsídio!M10,0)</f>
        <v>1.3307676296632556</v>
      </c>
      <c r="BR316" s="1122">
        <f t="shared" si="42"/>
        <v>-5.7313762796164704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3" t="s">
        <v>769</v>
      </c>
      <c r="BP317" s="1121">
        <f>SUM(BP311:BP316)</f>
        <v>-1904.9034831712393</v>
      </c>
      <c r="BQ317" s="1121">
        <f>SUM(BQ311:BQ316)</f>
        <v>15294.259383248569</v>
      </c>
      <c r="BR317" s="1122">
        <f t="shared" si="42"/>
        <v>13389.355900077329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1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3.3399999999999999E-2</v>
      </c>
      <c r="BW320" s="420">
        <f>Energia!F28</f>
        <v>0</v>
      </c>
      <c r="BY320" s="23">
        <f t="shared" ref="BY320:BY326" si="44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2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4" t="s">
        <v>633</v>
      </c>
      <c r="CA327" s="1125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6" t="s">
        <v>871</v>
      </c>
      <c r="CA329" s="1127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51"/>
      <c r="C338" s="1851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51"/>
      <c r="C344" s="1851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51"/>
      <c r="C353" s="1851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4" zoomScale="85" zoomScaleNormal="85" workbookViewId="0">
      <selection activeCell="D8" sqref="D8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5" customWidth="1"/>
    <col min="6" max="6" width="31.42578125" style="1595" customWidth="1"/>
    <col min="7" max="7" width="47.85546875" style="1595" bestFit="1" customWidth="1"/>
    <col min="8" max="13" width="16.28515625" style="905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0" t="s">
        <v>724</v>
      </c>
      <c r="D1" s="1301"/>
      <c r="E1" s="1302"/>
      <c r="F1" s="1588"/>
      <c r="G1" s="1702"/>
      <c r="H1" s="1701"/>
      <c r="I1" s="1586"/>
      <c r="J1" s="1597" t="s">
        <v>873</v>
      </c>
      <c r="K1" s="1228">
        <f ca="1">LnkTXTIRTEco</f>
        <v>-0.10630000000000001</v>
      </c>
      <c r="L1" s="1586"/>
      <c r="M1" s="1586"/>
    </row>
    <row r="2" spans="3:23" ht="16.5">
      <c r="C2" s="620" t="str">
        <f>CAPA!B2</f>
        <v>Coopermila</v>
      </c>
      <c r="D2" s="622"/>
      <c r="E2" s="901"/>
      <c r="F2" s="1589"/>
      <c r="G2" s="1698" t="s">
        <v>2256</v>
      </c>
      <c r="H2" s="1703">
        <f ca="1">LnkTXTEV/LnkTXTER</f>
        <v>0.94868818746960826</v>
      </c>
      <c r="I2" s="901"/>
      <c r="J2" s="1598" t="s">
        <v>877</v>
      </c>
      <c r="K2" s="1599">
        <f ca="1">LnkTXTIRTTotal</f>
        <v>-0.2195</v>
      </c>
      <c r="L2" s="901"/>
      <c r="M2" s="901"/>
    </row>
    <row r="3" spans="3:23" ht="16.5">
      <c r="C3" s="624"/>
      <c r="D3" s="622"/>
      <c r="E3" s="901"/>
      <c r="F3" s="1589"/>
      <c r="G3" s="1699" t="s">
        <v>2258</v>
      </c>
      <c r="H3" s="1704">
        <f ca="1">Energia!D10/LnkTXTER</f>
        <v>0</v>
      </c>
      <c r="I3" s="901"/>
      <c r="J3" s="901"/>
      <c r="K3" s="901"/>
      <c r="L3" s="901"/>
      <c r="M3" s="901"/>
    </row>
    <row r="4" spans="3:23" ht="16.5">
      <c r="C4" s="1303" t="s">
        <v>1278</v>
      </c>
      <c r="D4" s="1783">
        <f ca="1">LnkTXTRA0</f>
        <v>11631707.531150002</v>
      </c>
      <c r="E4" s="902"/>
      <c r="F4" s="1590"/>
      <c r="G4" s="1699" t="s">
        <v>2261</v>
      </c>
      <c r="H4" s="1704">
        <f ca="1">Energia!D11/LnkTXTER</f>
        <v>5.1311812530391798E-2</v>
      </c>
      <c r="I4" s="902"/>
      <c r="J4" s="902"/>
      <c r="K4" s="902"/>
      <c r="L4" s="902"/>
      <c r="M4" s="902"/>
    </row>
    <row r="5" spans="3:23" ht="16.5">
      <c r="C5" s="1304" t="s">
        <v>1279</v>
      </c>
      <c r="D5" s="1784">
        <f ca="1">D7</f>
        <v>-1316981.5027450165</v>
      </c>
      <c r="E5" s="903"/>
      <c r="F5" s="1591"/>
      <c r="G5" s="1699" t="s">
        <v>2259</v>
      </c>
      <c r="H5" s="1704">
        <f ca="1">Energia!D12/LnkTXTER</f>
        <v>0</v>
      </c>
      <c r="I5" s="903"/>
      <c r="J5" s="903"/>
      <c r="K5" s="903"/>
      <c r="L5" s="903"/>
      <c r="M5" s="903"/>
    </row>
    <row r="6" spans="3:23" ht="16.5">
      <c r="C6" s="623"/>
      <c r="D6" s="1305"/>
      <c r="E6" s="904"/>
      <c r="F6" s="1592"/>
      <c r="G6" s="1700" t="s">
        <v>2260</v>
      </c>
      <c r="H6" s="1705">
        <f ca="1">Energia!D13/LnkTXTER</f>
        <v>0</v>
      </c>
      <c r="I6" s="904"/>
      <c r="J6" s="904"/>
      <c r="K6" s="904"/>
      <c r="L6" s="904"/>
      <c r="M6" s="904"/>
    </row>
    <row r="7" spans="3:23" ht="17.25" thickBot="1">
      <c r="C7" s="1306" t="s">
        <v>1280</v>
      </c>
      <c r="D7" s="1785">
        <f ca="1">SUM(D9:D100)</f>
        <v>-1316981.5027450165</v>
      </c>
      <c r="E7" s="1307">
        <f ca="1">SUM(E9:E100)</f>
        <v>-0.11322340242979012</v>
      </c>
      <c r="F7" s="1593"/>
      <c r="G7" s="1593"/>
      <c r="H7" s="1587"/>
      <c r="I7" s="1587"/>
      <c r="J7" s="1587"/>
      <c r="K7" s="1587"/>
      <c r="L7" s="1587"/>
      <c r="M7" s="1587"/>
    </row>
    <row r="8" spans="3:23" ht="16.5">
      <c r="C8" s="1308" t="s">
        <v>1281</v>
      </c>
      <c r="D8" s="1309" t="s">
        <v>37</v>
      </c>
      <c r="E8" s="1310" t="s">
        <v>1282</v>
      </c>
      <c r="F8" s="1594" t="s">
        <v>22</v>
      </c>
      <c r="G8" s="1594" t="s">
        <v>2275</v>
      </c>
      <c r="H8" s="1600" t="s">
        <v>1283</v>
      </c>
      <c r="I8" s="1600" t="s">
        <v>1284</v>
      </c>
      <c r="J8" s="1600" t="s">
        <v>1285</v>
      </c>
      <c r="K8" s="1600" t="s">
        <v>1286</v>
      </c>
      <c r="L8" s="1600" t="s">
        <v>1287</v>
      </c>
      <c r="M8" s="1600" t="s">
        <v>1288</v>
      </c>
      <c r="O8" s="1579" t="s">
        <v>22</v>
      </c>
      <c r="P8" s="1580" t="s">
        <v>1408</v>
      </c>
      <c r="Q8" s="1581" t="s">
        <v>1409</v>
      </c>
      <c r="R8" s="1581" t="s">
        <v>1410</v>
      </c>
      <c r="T8" s="1562" t="s">
        <v>22</v>
      </c>
      <c r="U8" s="1562" t="s">
        <v>1286</v>
      </c>
      <c r="V8" s="1562" t="s">
        <v>1287</v>
      </c>
      <c r="W8" s="1562" t="s">
        <v>1288</v>
      </c>
    </row>
    <row r="9" spans="3:23" ht="16.5">
      <c r="C9" s="1638" t="s">
        <v>1289</v>
      </c>
      <c r="D9" s="1639">
        <f>IFERROR(ABS(Indexador!$D$49)*'Tributos suprimento'!$C$41,0)</f>
        <v>64714.844647360944</v>
      </c>
      <c r="E9" s="1618">
        <f ca="1">IF(ISERROR(D9/$D$4),0,D9/$D$4)</f>
        <v>5.5636581709136842E-3</v>
      </c>
      <c r="F9" s="1608" t="s">
        <v>2236</v>
      </c>
      <c r="G9" s="1621" t="s">
        <v>2268</v>
      </c>
      <c r="H9" s="1609">
        <f>IFERROR(VLOOKUP(Financeiros[[#This Row],[Tipo]],RefTabTipo[],2,FALSE),0)</f>
        <v>22</v>
      </c>
      <c r="I9" s="1627">
        <f>IFERROR(VLOOKUP(Financeiros[[#This Row],[Tipo]],RefTabTipo[],3,FALSE),0)</f>
        <v>60</v>
      </c>
      <c r="J9" s="1610">
        <f>IFERROR(VLOOKUP(Financeiros[[#This Row],[Tipo]],RefTabTipo[],4,FALSE),0)</f>
        <v>999</v>
      </c>
      <c r="K9" s="1633">
        <f>IFERROR(VLOOKUP(Financeiros[[#This Row],[Grupo Tarifário]],RefTabGrupoTarifa[],2,FALSE),0)</f>
        <v>1</v>
      </c>
      <c r="L9" s="1609">
        <f>IFERROR(VLOOKUP(Financeiros[[#This Row],[Grupo Tarifário]],RefTabGrupoTarifa[],3,FALSE),0)</f>
        <v>7</v>
      </c>
      <c r="M9" s="1633">
        <f>IFERROR(VLOOKUP(Financeiros[[#This Row],[Grupo Tarifário]],RefTabGrupoTarifa[],4,FALSE),0)</f>
        <v>9</v>
      </c>
      <c r="O9" s="1582" t="s">
        <v>2229</v>
      </c>
      <c r="P9" s="1583">
        <v>22</v>
      </c>
      <c r="Q9" s="1583">
        <v>60</v>
      </c>
      <c r="R9" s="1584">
        <v>235</v>
      </c>
      <c r="T9" s="845" t="s">
        <v>2240</v>
      </c>
      <c r="U9" s="1454">
        <v>99</v>
      </c>
      <c r="V9" s="1454">
        <v>999</v>
      </c>
      <c r="W9" s="1454">
        <v>2</v>
      </c>
    </row>
    <row r="10" spans="3:23" ht="16.5">
      <c r="C10" s="1638" t="s">
        <v>2287</v>
      </c>
      <c r="D10" s="1639">
        <f ca="1">IFERROR(ABS(Indexador!$D$49)*'Tributos suprimento'!$D$41*H2,0)</f>
        <v>186243.66035688555</v>
      </c>
      <c r="E10" s="1618">
        <f t="shared" ref="E10:E73" ca="1" si="0">IF(ISERROR(D10/$D$4),0,D10/$D$4)</f>
        <v>1.6011721396718442E-2</v>
      </c>
      <c r="F10" s="1608" t="s">
        <v>2236</v>
      </c>
      <c r="G10" s="1621" t="s">
        <v>2256</v>
      </c>
      <c r="H10" s="1609">
        <f>IFERROR(VLOOKUP(Financeiros[[#This Row],[Tipo]],RefTabTipo[],2,FALSE),0)</f>
        <v>22</v>
      </c>
      <c r="I10" s="1627">
        <f>IFERROR(VLOOKUP(Financeiros[[#This Row],[Tipo]],RefTabTipo[],3,FALSE),0)</f>
        <v>60</v>
      </c>
      <c r="J10" s="1610">
        <f>IFERROR(VLOOKUP(Financeiros[[#This Row],[Tipo]],RefTabTipo[],4,FALSE),0)</f>
        <v>999</v>
      </c>
      <c r="K10" s="1633">
        <f>IFERROR(VLOOKUP(Financeiros[[#This Row],[Grupo Tarifário]],RefTabGrupoTarifa[],2,FALSE),0)</f>
        <v>2</v>
      </c>
      <c r="L10" s="1609">
        <f>IFERROR(VLOOKUP(Financeiros[[#This Row],[Grupo Tarifário]],RefTabGrupoTarifa[],3,FALSE),0)</f>
        <v>11</v>
      </c>
      <c r="M10" s="1633">
        <f>IFERROR(VLOOKUP(Financeiros[[#This Row],[Grupo Tarifário]],RefTabGrupoTarifa[],4,FALSE),0)</f>
        <v>9</v>
      </c>
      <c r="O10" s="1582" t="s">
        <v>2230</v>
      </c>
      <c r="P10" s="1583">
        <v>20</v>
      </c>
      <c r="Q10" s="1583">
        <v>60</v>
      </c>
      <c r="R10" s="1584">
        <v>234</v>
      </c>
      <c r="T10" s="845" t="s">
        <v>2241</v>
      </c>
      <c r="U10" s="1454">
        <v>99</v>
      </c>
      <c r="V10" s="1454">
        <v>999</v>
      </c>
      <c r="W10" s="1454">
        <v>1</v>
      </c>
    </row>
    <row r="11" spans="3:23" ht="16.5" hidden="1">
      <c r="C11" s="1638" t="s">
        <v>2288</v>
      </c>
      <c r="D11" s="1639">
        <f ca="1">IFERROR(ABS(Indexador!$D$49)*'Tributos suprimento'!$D$41*H3,0)</f>
        <v>0</v>
      </c>
      <c r="E11" s="1618">
        <f t="shared" ca="1" si="0"/>
        <v>0</v>
      </c>
      <c r="F11" s="1608" t="s">
        <v>2236</v>
      </c>
      <c r="G11" s="1621" t="s">
        <v>2258</v>
      </c>
      <c r="H11" s="1609">
        <f>IFERROR(VLOOKUP(Financeiros[[#This Row],[Tipo]],RefTabTipo[],2,FALSE),0)</f>
        <v>22</v>
      </c>
      <c r="I11" s="1627">
        <f>IFERROR(VLOOKUP(Financeiros[[#This Row],[Tipo]],RefTabTipo[],3,FALSE),0)</f>
        <v>60</v>
      </c>
      <c r="J11" s="1610">
        <f>IFERROR(VLOOKUP(Financeiros[[#This Row],[Tipo]],RefTabTipo[],4,FALSE),0)</f>
        <v>999</v>
      </c>
      <c r="K11" s="1633">
        <f>IFERROR(VLOOKUP(Financeiros[[#This Row],[Grupo Tarifário]],RefTabGrupoTarifa[],2,FALSE),0)</f>
        <v>2</v>
      </c>
      <c r="L11" s="1609">
        <f>IFERROR(VLOOKUP(Financeiros[[#This Row],[Grupo Tarifário]],RefTabGrupoTarifa[],3,FALSE),0)</f>
        <v>9</v>
      </c>
      <c r="M11" s="1633">
        <f>IFERROR(VLOOKUP(Financeiros[[#This Row],[Grupo Tarifário]],RefTabGrupoTarifa[],4,FALSE),0)</f>
        <v>9</v>
      </c>
      <c r="O11" s="1582" t="s">
        <v>2231</v>
      </c>
      <c r="P11" s="1583">
        <v>22</v>
      </c>
      <c r="Q11" s="1583">
        <v>60</v>
      </c>
      <c r="R11" s="1584">
        <v>167</v>
      </c>
      <c r="T11" s="845" t="s">
        <v>2242</v>
      </c>
      <c r="U11" s="1454">
        <v>99</v>
      </c>
      <c r="V11" s="1454">
        <v>999</v>
      </c>
      <c r="W11" s="1454">
        <v>3</v>
      </c>
    </row>
    <row r="12" spans="3:23" ht="16.5">
      <c r="C12" s="1638" t="s">
        <v>2289</v>
      </c>
      <c r="D12" s="1639">
        <f ca="1">IFERROR(ABS(Indexador!$D$49)*'Tributos suprimento'!$D$41*H4,0)</f>
        <v>10073.383342841107</v>
      </c>
      <c r="E12" s="1618">
        <f t="shared" ca="1" si="0"/>
        <v>8.6602790827265349E-4</v>
      </c>
      <c r="F12" s="1608" t="s">
        <v>2236</v>
      </c>
      <c r="G12" s="1621" t="s">
        <v>2261</v>
      </c>
      <c r="H12" s="1609">
        <f>IFERROR(VLOOKUP(Financeiros[[#This Row],[Tipo]],RefTabTipo[],2,FALSE),0)</f>
        <v>22</v>
      </c>
      <c r="I12" s="1627">
        <f>IFERROR(VLOOKUP(Financeiros[[#This Row],[Tipo]],RefTabTipo[],3,FALSE),0)</f>
        <v>60</v>
      </c>
      <c r="J12" s="1610">
        <f>IFERROR(VLOOKUP(Financeiros[[#This Row],[Tipo]],RefTabTipo[],4,FALSE),0)</f>
        <v>999</v>
      </c>
      <c r="K12" s="1633">
        <f>IFERROR(VLOOKUP(Financeiros[[#This Row],[Grupo Tarifário]],RefTabGrupoTarifa[],2,FALSE),0)</f>
        <v>2</v>
      </c>
      <c r="L12" s="1609">
        <f>IFERROR(VLOOKUP(Financeiros[[#This Row],[Grupo Tarifário]],RefTabGrupoTarifa[],3,FALSE),0)</f>
        <v>8</v>
      </c>
      <c r="M12" s="1633">
        <f>IFERROR(VLOOKUP(Financeiros[[#This Row],[Grupo Tarifário]],RefTabGrupoTarifa[],4,FALSE),0)</f>
        <v>9</v>
      </c>
      <c r="O12" s="1582" t="s">
        <v>2232</v>
      </c>
      <c r="P12" s="1583">
        <v>22</v>
      </c>
      <c r="Q12" s="1583">
        <v>60</v>
      </c>
      <c r="R12" s="1584">
        <v>241</v>
      </c>
      <c r="T12" s="845" t="s">
        <v>2243</v>
      </c>
      <c r="U12" s="845">
        <v>3</v>
      </c>
      <c r="V12" s="845">
        <v>17</v>
      </c>
      <c r="W12" s="845">
        <v>9</v>
      </c>
    </row>
    <row r="13" spans="3:23" ht="16.5" hidden="1">
      <c r="C13" s="1638" t="s">
        <v>2290</v>
      </c>
      <c r="D13" s="1639">
        <f ca="1">IFERROR(ABS(Indexador!$D$49)*'Tributos suprimento'!$D$41*H5,0)</f>
        <v>0</v>
      </c>
      <c r="E13" s="1618">
        <f t="shared" ca="1" si="0"/>
        <v>0</v>
      </c>
      <c r="F13" s="1608" t="s">
        <v>2236</v>
      </c>
      <c r="G13" s="1621" t="s">
        <v>2259</v>
      </c>
      <c r="H13" s="1609">
        <f>IFERROR(VLOOKUP(Financeiros[[#This Row],[Tipo]],RefTabTipo[],2,FALSE),0)</f>
        <v>22</v>
      </c>
      <c r="I13" s="1627">
        <f>IFERROR(VLOOKUP(Financeiros[[#This Row],[Tipo]],RefTabTipo[],3,FALSE),0)</f>
        <v>60</v>
      </c>
      <c r="J13" s="1610">
        <f>IFERROR(VLOOKUP(Financeiros[[#This Row],[Tipo]],RefTabTipo[],4,FALSE),0)</f>
        <v>999</v>
      </c>
      <c r="K13" s="1633">
        <f>IFERROR(VLOOKUP(Financeiros[[#This Row],[Grupo Tarifário]],RefTabGrupoTarifa[],2,FALSE),0)</f>
        <v>2</v>
      </c>
      <c r="L13" s="1609">
        <f>IFERROR(VLOOKUP(Financeiros[[#This Row],[Grupo Tarifário]],RefTabGrupoTarifa[],3,FALSE),0)</f>
        <v>10</v>
      </c>
      <c r="M13" s="1633">
        <f>IFERROR(VLOOKUP(Financeiros[[#This Row],[Grupo Tarifário]],RefTabGrupoTarifa[],4,FALSE),0)</f>
        <v>9</v>
      </c>
      <c r="O13" s="1582" t="s">
        <v>2233</v>
      </c>
      <c r="P13" s="1583">
        <v>22</v>
      </c>
      <c r="Q13" s="1583">
        <v>60</v>
      </c>
      <c r="R13" s="1584">
        <v>120</v>
      </c>
      <c r="T13" s="845" t="s">
        <v>2244</v>
      </c>
      <c r="U13" s="845">
        <v>3</v>
      </c>
      <c r="V13" s="845">
        <v>13</v>
      </c>
      <c r="W13" s="845">
        <v>9</v>
      </c>
    </row>
    <row r="14" spans="3:23" ht="16.5" hidden="1">
      <c r="C14" s="1638" t="s">
        <v>2291</v>
      </c>
      <c r="D14" s="1639">
        <f ca="1">IFERROR(ABS(Indexador!$D$49)*'Tributos suprimento'!$D$41*H6,0)</f>
        <v>0</v>
      </c>
      <c r="E14" s="1618">
        <f t="shared" ca="1" si="0"/>
        <v>0</v>
      </c>
      <c r="F14" s="1608" t="s">
        <v>2236</v>
      </c>
      <c r="G14" s="1621" t="s">
        <v>2260</v>
      </c>
      <c r="H14" s="1609">
        <f>IFERROR(VLOOKUP(Financeiros[[#This Row],[Tipo]],RefTabTipo[],2,FALSE),0)</f>
        <v>22</v>
      </c>
      <c r="I14" s="1627">
        <f>IFERROR(VLOOKUP(Financeiros[[#This Row],[Tipo]],RefTabTipo[],3,FALSE),0)</f>
        <v>60</v>
      </c>
      <c r="J14" s="1610">
        <f>IFERROR(VLOOKUP(Financeiros[[#This Row],[Tipo]],RefTabTipo[],4,FALSE),0)</f>
        <v>999</v>
      </c>
      <c r="K14" s="1633">
        <f>IFERROR(VLOOKUP(Financeiros[[#This Row],[Grupo Tarifário]],RefTabGrupoTarifa[],2,FALSE),0)</f>
        <v>2</v>
      </c>
      <c r="L14" s="1609">
        <f>IFERROR(VLOOKUP(Financeiros[[#This Row],[Grupo Tarifário]],RefTabGrupoTarifa[],3,FALSE),0)</f>
        <v>24</v>
      </c>
      <c r="M14" s="1633">
        <f>IFERROR(VLOOKUP(Financeiros[[#This Row],[Grupo Tarifário]],RefTabGrupoTarifa[],4,FALSE),0)</f>
        <v>9</v>
      </c>
      <c r="O14" s="1582" t="s">
        <v>2234</v>
      </c>
      <c r="P14" s="1583">
        <v>22</v>
      </c>
      <c r="Q14" s="1583">
        <v>60</v>
      </c>
      <c r="R14" s="1584">
        <v>240</v>
      </c>
      <c r="T14" s="845" t="s">
        <v>2245</v>
      </c>
      <c r="U14" s="845">
        <v>3</v>
      </c>
      <c r="V14" s="845">
        <v>25</v>
      </c>
      <c r="W14" s="845">
        <v>9</v>
      </c>
    </row>
    <row r="15" spans="3:23" ht="16.5">
      <c r="C15" s="1615" t="str">
        <f>"(Neutralidade) "&amp;Encargos!L31</f>
        <v>(Neutralidade) TFSEE</v>
      </c>
      <c r="D15" s="1611">
        <f ca="1">Encargos!$M$31</f>
        <v>-1049.8958455291686</v>
      </c>
      <c r="E15" s="1618">
        <f t="shared" ca="1" si="0"/>
        <v>-9.0261540940358189E-5</v>
      </c>
      <c r="F15" s="1612" t="s">
        <v>107</v>
      </c>
      <c r="G15" s="1619" t="s">
        <v>2255</v>
      </c>
      <c r="H15" s="1613">
        <f>IFERROR(VLOOKUP(Financeiros[[#This Row],[Tipo]],RefTabTipo[],2,FALSE),0)</f>
        <v>20</v>
      </c>
      <c r="I15" s="1625">
        <f>IFERROR(VLOOKUP(Financeiros[[#This Row],[Tipo]],RefTabTipo[],3,FALSE),0)</f>
        <v>60</v>
      </c>
      <c r="J15" s="1614">
        <f>IFERROR(VLOOKUP(Financeiros[[#This Row],[Tipo]],RefTabTipo[],4,FALSE),0)</f>
        <v>999</v>
      </c>
      <c r="K15" s="1632">
        <f>IFERROR(VLOOKUP(Financeiros[[#This Row],[Grupo Tarifário]],RefTabGrupoTarifa[],2,FALSE),0)</f>
        <v>3</v>
      </c>
      <c r="L15" s="1613">
        <f>IFERROR(VLOOKUP(Financeiros[[#This Row],[Grupo Tarifário]],RefTabGrupoTarifa[],3,FALSE),0)</f>
        <v>14</v>
      </c>
      <c r="M15" s="1632">
        <f>IFERROR(VLOOKUP(Financeiros[[#This Row],[Grupo Tarifário]],RefTabGrupoTarifa[],4,FALSE),0)</f>
        <v>9</v>
      </c>
      <c r="O15" s="1582" t="s">
        <v>2235</v>
      </c>
      <c r="P15" s="1583">
        <v>22</v>
      </c>
      <c r="Q15" s="1583">
        <v>60</v>
      </c>
      <c r="R15" s="1584">
        <v>179</v>
      </c>
      <c r="T15" s="845" t="s">
        <v>2246</v>
      </c>
      <c r="U15" s="845">
        <v>3</v>
      </c>
      <c r="V15" s="845">
        <v>15</v>
      </c>
      <c r="W15" s="845">
        <v>9</v>
      </c>
    </row>
    <row r="16" spans="3:23" ht="16.5">
      <c r="C16" s="1615" t="str">
        <f>"(Neutralidade) "&amp;Encargos!L32</f>
        <v>(Neutralidade) CDE</v>
      </c>
      <c r="D16" s="1611">
        <f ca="1">IFERROR(Encargos!$M$32,0)</f>
        <v>-95422.930034866673</v>
      </c>
      <c r="E16" s="1618">
        <f t="shared" ca="1" si="0"/>
        <v>-8.20369062575909E-3</v>
      </c>
      <c r="F16" s="1612" t="s">
        <v>107</v>
      </c>
      <c r="G16" s="1619" t="s">
        <v>2246</v>
      </c>
      <c r="H16" s="1613">
        <f>IFERROR(VLOOKUP(Financeiros[[#This Row],[Tipo]],RefTabTipo[],2,FALSE),0)</f>
        <v>20</v>
      </c>
      <c r="I16" s="1625">
        <f>IFERROR(VLOOKUP(Financeiros[[#This Row],[Tipo]],RefTabTipo[],3,FALSE),0)</f>
        <v>60</v>
      </c>
      <c r="J16" s="1614">
        <f>IFERROR(VLOOKUP(Financeiros[[#This Row],[Tipo]],RefTabTipo[],4,FALSE),0)</f>
        <v>999</v>
      </c>
      <c r="K16" s="1632">
        <f>IFERROR(VLOOKUP(Financeiros[[#This Row],[Grupo Tarifário]],RefTabGrupoTarifa[],2,FALSE),0)</f>
        <v>3</v>
      </c>
      <c r="L16" s="1613">
        <f>IFERROR(VLOOKUP(Financeiros[[#This Row],[Grupo Tarifário]],RefTabGrupoTarifa[],3,FALSE),0)</f>
        <v>15</v>
      </c>
      <c r="M16" s="1632">
        <f>IFERROR(VLOOKUP(Financeiros[[#This Row],[Grupo Tarifário]],RefTabGrupoTarifa[],4,FALSE),0)</f>
        <v>9</v>
      </c>
      <c r="O16" s="1582" t="s">
        <v>2236</v>
      </c>
      <c r="P16" s="1583">
        <v>22</v>
      </c>
      <c r="Q16" s="1583">
        <v>60</v>
      </c>
      <c r="R16" s="1584">
        <v>999</v>
      </c>
      <c r="T16" s="845" t="s">
        <v>2247</v>
      </c>
      <c r="U16" s="1454">
        <v>3</v>
      </c>
      <c r="V16" s="1454">
        <v>25</v>
      </c>
      <c r="W16" s="1454">
        <v>9</v>
      </c>
    </row>
    <row r="17" spans="3:23" ht="16.5" hidden="1">
      <c r="C17" s="1615" t="str">
        <f>"(Neutralidade) "&amp;Encargos!L33</f>
        <v>(Neutralidade) CFURH</v>
      </c>
      <c r="D17" s="1611">
        <f>Encargos!$M$33</f>
        <v>0</v>
      </c>
      <c r="E17" s="1618">
        <f t="shared" ca="1" si="0"/>
        <v>0</v>
      </c>
      <c r="F17" s="1612" t="s">
        <v>107</v>
      </c>
      <c r="G17" s="1619" t="s">
        <v>2250</v>
      </c>
      <c r="H17" s="1613">
        <f>IFERROR(VLOOKUP(Financeiros[[#This Row],[Tipo]],RefTabTipo[],2,FALSE),0)</f>
        <v>20</v>
      </c>
      <c r="I17" s="1625">
        <f>IFERROR(VLOOKUP(Financeiros[[#This Row],[Tipo]],RefTabTipo[],3,FALSE),0)</f>
        <v>60</v>
      </c>
      <c r="J17" s="1614">
        <f>IFERROR(VLOOKUP(Financeiros[[#This Row],[Tipo]],RefTabTipo[],4,FALSE),0)</f>
        <v>999</v>
      </c>
      <c r="K17" s="1632">
        <f>IFERROR(VLOOKUP(Financeiros[[#This Row],[Grupo Tarifário]],RefTabGrupoTarifa[],2,FALSE),0)</f>
        <v>3</v>
      </c>
      <c r="L17" s="1613">
        <f>IFERROR(VLOOKUP(Financeiros[[#This Row],[Grupo Tarifário]],RefTabGrupoTarifa[],3,FALSE),0)</f>
        <v>16</v>
      </c>
      <c r="M17" s="1632">
        <f>IFERROR(VLOOKUP(Financeiros[[#This Row],[Grupo Tarifário]],RefTabGrupoTarifa[],4,FALSE),0)</f>
        <v>9</v>
      </c>
      <c r="O17" s="1582" t="s">
        <v>107</v>
      </c>
      <c r="P17" s="1583">
        <v>20</v>
      </c>
      <c r="Q17" s="1583">
        <v>60</v>
      </c>
      <c r="R17" s="1584">
        <v>999</v>
      </c>
      <c r="T17" s="845" t="s">
        <v>2248</v>
      </c>
      <c r="U17" s="1454">
        <v>3</v>
      </c>
      <c r="V17" s="1454">
        <v>12</v>
      </c>
      <c r="W17" s="1454">
        <v>9</v>
      </c>
    </row>
    <row r="18" spans="3:23" ht="16.5" hidden="1">
      <c r="C18" s="1615" t="str">
        <f>"(Neutralidade) "&amp;Encargos!L34</f>
        <v>(Neutralidade) ESS/ERR</v>
      </c>
      <c r="D18" s="1611">
        <f ca="1">Encargos!$M$34</f>
        <v>0</v>
      </c>
      <c r="E18" s="1618">
        <f t="shared" ca="1" si="0"/>
        <v>0</v>
      </c>
      <c r="F18" s="1612" t="s">
        <v>107</v>
      </c>
      <c r="G18" s="1619" t="s">
        <v>2243</v>
      </c>
      <c r="H18" s="1613">
        <f>IFERROR(VLOOKUP(Financeiros[[#This Row],[Tipo]],RefTabTipo[],2,FALSE),0)</f>
        <v>20</v>
      </c>
      <c r="I18" s="1625">
        <f>IFERROR(VLOOKUP(Financeiros[[#This Row],[Tipo]],RefTabTipo[],3,FALSE),0)</f>
        <v>60</v>
      </c>
      <c r="J18" s="1614">
        <f>IFERROR(VLOOKUP(Financeiros[[#This Row],[Tipo]],RefTabTipo[],4,FALSE),0)</f>
        <v>999</v>
      </c>
      <c r="K18" s="1632">
        <f>IFERROR(VLOOKUP(Financeiros[[#This Row],[Grupo Tarifário]],RefTabGrupoTarifa[],2,FALSE),0)</f>
        <v>3</v>
      </c>
      <c r="L18" s="1613">
        <f>IFERROR(VLOOKUP(Financeiros[[#This Row],[Grupo Tarifário]],RefTabGrupoTarifa[],3,FALSE),0)</f>
        <v>17</v>
      </c>
      <c r="M18" s="1632">
        <f>IFERROR(VLOOKUP(Financeiros[[#This Row],[Grupo Tarifário]],RefTabGrupoTarifa[],4,FALSE),0)</f>
        <v>9</v>
      </c>
      <c r="O18" s="1582" t="s">
        <v>2237</v>
      </c>
      <c r="P18" s="1583">
        <v>20</v>
      </c>
      <c r="Q18" s="1583">
        <v>60</v>
      </c>
      <c r="R18" s="1584">
        <v>179</v>
      </c>
      <c r="T18" s="845" t="s">
        <v>2249</v>
      </c>
      <c r="U18" s="1454">
        <v>3</v>
      </c>
      <c r="V18" s="1454">
        <v>28</v>
      </c>
      <c r="W18" s="1454">
        <v>9</v>
      </c>
    </row>
    <row r="19" spans="3:23" ht="16.5">
      <c r="C19" s="1615" t="str">
        <f>"(Neutralidade) "&amp;Encargos!L35</f>
        <v>(Neutralidade) PROINFA</v>
      </c>
      <c r="D19" s="1611">
        <f ca="1">Encargos!$M$35</f>
        <v>-17322.630753886519</v>
      </c>
      <c r="E19" s="1618">
        <f t="shared" ca="1" si="0"/>
        <v>-1.4892594838286711E-3</v>
      </c>
      <c r="F19" s="1612" t="s">
        <v>107</v>
      </c>
      <c r="G19" s="1619" t="s">
        <v>2253</v>
      </c>
      <c r="H19" s="1613">
        <f>IFERROR(VLOOKUP(Financeiros[[#This Row],[Tipo]],RefTabTipo[],2,FALSE),0)</f>
        <v>20</v>
      </c>
      <c r="I19" s="1625">
        <f>IFERROR(VLOOKUP(Financeiros[[#This Row],[Tipo]],RefTabTipo[],3,FALSE),0)</f>
        <v>60</v>
      </c>
      <c r="J19" s="1614">
        <f>IFERROR(VLOOKUP(Financeiros[[#This Row],[Tipo]],RefTabTipo[],4,FALSE),0)</f>
        <v>999</v>
      </c>
      <c r="K19" s="1632">
        <f>IFERROR(VLOOKUP(Financeiros[[#This Row],[Grupo Tarifário]],RefTabGrupoTarifa[],2,FALSE),0)</f>
        <v>3</v>
      </c>
      <c r="L19" s="1613">
        <f>IFERROR(VLOOKUP(Financeiros[[#This Row],[Grupo Tarifário]],RefTabGrupoTarifa[],3,FALSE),0)</f>
        <v>18</v>
      </c>
      <c r="M19" s="1632">
        <f>IFERROR(VLOOKUP(Financeiros[[#This Row],[Grupo Tarifário]],RefTabGrupoTarifa[],4,FALSE),0)</f>
        <v>9</v>
      </c>
      <c r="O19" s="68" t="s">
        <v>2277</v>
      </c>
      <c r="P19" s="1649">
        <v>22</v>
      </c>
      <c r="Q19" s="1649">
        <v>60</v>
      </c>
      <c r="R19" s="1649">
        <v>220</v>
      </c>
      <c r="T19" s="845" t="s">
        <v>2250</v>
      </c>
      <c r="U19" s="845">
        <v>3</v>
      </c>
      <c r="V19" s="845">
        <v>16</v>
      </c>
      <c r="W19" s="845">
        <v>9</v>
      </c>
    </row>
    <row r="20" spans="3:23" ht="16.5" hidden="1">
      <c r="C20" s="1615" t="str">
        <f>"(Neutralidade) "&amp;Encargos!L36</f>
        <v>(Neutralidade) CDE COVID</v>
      </c>
      <c r="D20" s="1611">
        <f ca="1">Encargos!$M$36</f>
        <v>0</v>
      </c>
      <c r="E20" s="1618">
        <f t="shared" ca="1" si="0"/>
        <v>0</v>
      </c>
      <c r="F20" s="1612" t="s">
        <v>107</v>
      </c>
      <c r="G20" s="1619" t="s">
        <v>2248</v>
      </c>
      <c r="H20" s="1613">
        <f>IFERROR(VLOOKUP(Financeiros[[#This Row],[Tipo]],RefTabTipo[],2,FALSE),0)</f>
        <v>20</v>
      </c>
      <c r="I20" s="1625">
        <f>IFERROR(VLOOKUP(Financeiros[[#This Row],[Tipo]],RefTabTipo[],3,FALSE),0)</f>
        <v>60</v>
      </c>
      <c r="J20" s="1614">
        <f>IFERROR(VLOOKUP(Financeiros[[#This Row],[Tipo]],RefTabTipo[],4,FALSE),0)</f>
        <v>999</v>
      </c>
      <c r="K20" s="1632">
        <f>IFERROR(VLOOKUP(Financeiros[[#This Row],[Grupo Tarifário]],RefTabGrupoTarifa[],2,FALSE),0)</f>
        <v>3</v>
      </c>
      <c r="L20" s="1613">
        <f>IFERROR(VLOOKUP(Financeiros[[#This Row],[Grupo Tarifário]],RefTabGrupoTarifa[],3,FALSE),0)</f>
        <v>12</v>
      </c>
      <c r="M20" s="1632">
        <f>IFERROR(VLOOKUP(Financeiros[[#This Row],[Grupo Tarifário]],RefTabGrupoTarifa[],4,FALSE),0)</f>
        <v>9</v>
      </c>
      <c r="O20" s="1650" t="s">
        <v>2238</v>
      </c>
      <c r="P20" s="1651">
        <v>22</v>
      </c>
      <c r="Q20" s="1651">
        <v>60</v>
      </c>
      <c r="R20" s="1651">
        <v>178</v>
      </c>
      <c r="T20" s="845" t="s">
        <v>2251</v>
      </c>
      <c r="U20" s="845">
        <v>3</v>
      </c>
      <c r="V20" s="845">
        <v>20</v>
      </c>
      <c r="W20" s="845">
        <v>9</v>
      </c>
    </row>
    <row r="21" spans="3:23" ht="16.5" hidden="1">
      <c r="C21" s="1615" t="str">
        <f>"(Neutralidade) "&amp;Encargos!L37</f>
        <v>(Neutralidade) P&amp;D</v>
      </c>
      <c r="D21" s="1611">
        <f ca="1">Encargos!$M$37</f>
        <v>0</v>
      </c>
      <c r="E21" s="1618">
        <f t="shared" ca="1" si="0"/>
        <v>0</v>
      </c>
      <c r="F21" s="1612" t="s">
        <v>107</v>
      </c>
      <c r="G21" s="1619" t="s">
        <v>2252</v>
      </c>
      <c r="H21" s="1613">
        <f>IFERROR(VLOOKUP(Financeiros[[#This Row],[Tipo]],RefTabTipo[],2,FALSE),0)</f>
        <v>20</v>
      </c>
      <c r="I21" s="1625">
        <f>IFERROR(VLOOKUP(Financeiros[[#This Row],[Tipo]],RefTabTipo[],3,FALSE),0)</f>
        <v>60</v>
      </c>
      <c r="J21" s="1614">
        <f>IFERROR(VLOOKUP(Financeiros[[#This Row],[Tipo]],RefTabTipo[],4,FALSE),0)</f>
        <v>999</v>
      </c>
      <c r="K21" s="1632">
        <f>IFERROR(VLOOKUP(Financeiros[[#This Row],[Grupo Tarifário]],RefTabGrupoTarifa[],2,FALSE),0)</f>
        <v>3</v>
      </c>
      <c r="L21" s="1613">
        <f>IFERROR(VLOOKUP(Financeiros[[#This Row],[Grupo Tarifário]],RefTabGrupoTarifa[],3,FALSE),0)</f>
        <v>19</v>
      </c>
      <c r="M21" s="1632">
        <f>IFERROR(VLOOKUP(Financeiros[[#This Row],[Grupo Tarifário]],RefTabGrupoTarifa[],4,FALSE),0)</f>
        <v>9</v>
      </c>
      <c r="O21" s="1650" t="s">
        <v>1305</v>
      </c>
      <c r="P21" s="1651">
        <v>22</v>
      </c>
      <c r="Q21" s="1651">
        <v>62</v>
      </c>
      <c r="R21" s="1651">
        <v>220</v>
      </c>
      <c r="T21" s="845" t="s">
        <v>2252</v>
      </c>
      <c r="U21" s="845">
        <v>3</v>
      </c>
      <c r="V21" s="845">
        <v>19</v>
      </c>
      <c r="W21" s="845">
        <v>9</v>
      </c>
    </row>
    <row r="22" spans="3:23" ht="16.5" hidden="1">
      <c r="C22" s="1615" t="str">
        <f>"(Neutralidade)" &amp; Encargos!L41</f>
        <v>(Neutralidade)Financeiro Covid</v>
      </c>
      <c r="D22" s="1611">
        <f ca="1">Encargos!$M$41</f>
        <v>0</v>
      </c>
      <c r="E22" s="1618">
        <f t="shared" ca="1" si="0"/>
        <v>0</v>
      </c>
      <c r="F22" s="1612" t="s">
        <v>107</v>
      </c>
      <c r="G22" s="1619" t="s">
        <v>104</v>
      </c>
      <c r="H22" s="1613">
        <f>IFERROR(VLOOKUP(Financeiros[[#This Row],[Tipo]],RefTabTipo[],2,FALSE),0)</f>
        <v>20</v>
      </c>
      <c r="I22" s="1625">
        <f>IFERROR(VLOOKUP(Financeiros[[#This Row],[Tipo]],RefTabTipo[],3,FALSE),0)</f>
        <v>60</v>
      </c>
      <c r="J22" s="1614">
        <f>IFERROR(VLOOKUP(Financeiros[[#This Row],[Tipo]],RefTabTipo[],4,FALSE),0)</f>
        <v>999</v>
      </c>
      <c r="K22" s="1632">
        <f>IFERROR(VLOOKUP(Financeiros[[#This Row],[Grupo Tarifário]],RefTabGrupoTarifa[],2,FALSE),0)</f>
        <v>4</v>
      </c>
      <c r="L22" s="1613">
        <f>IFERROR(VLOOKUP(Financeiros[[#This Row],[Grupo Tarifário]],RefTabGrupoTarifa[],3,FALSE),0)</f>
        <v>999</v>
      </c>
      <c r="M22" s="1632">
        <f>IFERROR(VLOOKUP(Financeiros[[#This Row],[Grupo Tarifário]],RefTabGrupoTarifa[],4,FALSE),0)</f>
        <v>9</v>
      </c>
      <c r="O22" s="1582" t="s">
        <v>2239</v>
      </c>
      <c r="P22" s="1585">
        <v>22</v>
      </c>
      <c r="Q22" s="1585">
        <v>60</v>
      </c>
      <c r="R22" s="1585">
        <v>106</v>
      </c>
      <c r="T22" s="845" t="s">
        <v>2253</v>
      </c>
      <c r="U22" s="845">
        <v>3</v>
      </c>
      <c r="V22" s="845">
        <v>18</v>
      </c>
      <c r="W22" s="845">
        <v>9</v>
      </c>
    </row>
    <row r="23" spans="3:23" ht="16.5" hidden="1">
      <c r="C23" s="1615" t="str">
        <f>"(Neutralidade)" &amp; Encargos!L42</f>
        <v>(Neutralidade)Crédito Pis Cofins</v>
      </c>
      <c r="D23" s="1611">
        <f ca="1">Encargos!$M$42</f>
        <v>0</v>
      </c>
      <c r="E23" s="1618">
        <f t="shared" ca="1" si="0"/>
        <v>0</v>
      </c>
      <c r="F23" s="1612" t="s">
        <v>2237</v>
      </c>
      <c r="G23" s="1619" t="s">
        <v>2242</v>
      </c>
      <c r="H23" s="1613">
        <f>IFERROR(VLOOKUP(Financeiros[[#This Row],[Tipo]],RefTabTipo[],2,FALSE),0)</f>
        <v>20</v>
      </c>
      <c r="I23" s="1625">
        <f>IFERROR(VLOOKUP(Financeiros[[#This Row],[Tipo]],RefTabTipo[],3,FALSE),0)</f>
        <v>60</v>
      </c>
      <c r="J23" s="1614">
        <f>IFERROR(VLOOKUP(Financeiros[[#This Row],[Tipo]],RefTabTipo[],4,FALSE),0)</f>
        <v>179</v>
      </c>
      <c r="K23" s="1632">
        <f>IFERROR(VLOOKUP(Financeiros[[#This Row],[Grupo Tarifário]],RefTabGrupoTarifa[],2,FALSE),0)</f>
        <v>99</v>
      </c>
      <c r="L23" s="1613">
        <f>IFERROR(VLOOKUP(Financeiros[[#This Row],[Grupo Tarifário]],RefTabGrupoTarifa[],3,FALSE),0)</f>
        <v>999</v>
      </c>
      <c r="M23" s="1632">
        <f>IFERROR(VLOOKUP(Financeiros[[#This Row],[Grupo Tarifário]],RefTabGrupoTarifa[],4,FALSE),0)</f>
        <v>3</v>
      </c>
      <c r="O23" s="68" t="s">
        <v>2409</v>
      </c>
      <c r="P23" s="68">
        <v>22</v>
      </c>
      <c r="Q23" s="68">
        <v>60</v>
      </c>
      <c r="R23" s="68">
        <v>242</v>
      </c>
      <c r="T23" s="845" t="s">
        <v>2254</v>
      </c>
      <c r="U23" s="845">
        <v>3</v>
      </c>
      <c r="V23" s="845">
        <v>12</v>
      </c>
      <c r="W23" s="845">
        <v>9</v>
      </c>
    </row>
    <row r="24" spans="3:23" ht="16.5" hidden="1">
      <c r="C24" s="1640" t="s">
        <v>1291</v>
      </c>
      <c r="D24" s="1641">
        <f>IFERROR((Indexador!J49+Indexador!P49)*Resultado!D25/(Resultado!D25+Resultado!D26),0)</f>
        <v>0</v>
      </c>
      <c r="E24" s="1618">
        <f t="shared" ca="1" si="0"/>
        <v>0</v>
      </c>
      <c r="F24" s="1642" t="s">
        <v>2236</v>
      </c>
      <c r="G24" s="1643" t="s">
        <v>2271</v>
      </c>
      <c r="H24" s="1644">
        <f>IFERROR(VLOOKUP(Financeiros[[#This Row],[Tipo]],RefTabTipo[],2,FALSE),0)</f>
        <v>22</v>
      </c>
      <c r="I24" s="1645">
        <f>IFERROR(VLOOKUP(Financeiros[[#This Row],[Tipo]],RefTabTipo[],3,FALSE),0)</f>
        <v>60</v>
      </c>
      <c r="J24" s="1646">
        <f>IFERROR(VLOOKUP(Financeiros[[#This Row],[Tipo]],RefTabTipo[],4,FALSE),0)</f>
        <v>999</v>
      </c>
      <c r="K24" s="1647">
        <f>IFERROR(VLOOKUP(Financeiros[[#This Row],[Grupo Tarifário]],RefTabGrupoTarifa[],2,FALSE),0)</f>
        <v>1</v>
      </c>
      <c r="L24" s="1644">
        <f>IFERROR(VLOOKUP(Financeiros[[#This Row],[Grupo Tarifário]],RefTabGrupoTarifa[],3,FALSE),0)</f>
        <v>1</v>
      </c>
      <c r="M24" s="1647">
        <f>IFERROR(VLOOKUP(Financeiros[[#This Row],[Grupo Tarifário]],RefTabGrupoTarifa[],4,FALSE),0)</f>
        <v>9</v>
      </c>
      <c r="T24" s="845" t="s">
        <v>2255</v>
      </c>
      <c r="U24" s="845">
        <v>3</v>
      </c>
      <c r="V24" s="845">
        <v>14</v>
      </c>
      <c r="W24" s="845">
        <v>9</v>
      </c>
    </row>
    <row r="25" spans="3:23" ht="16.5" hidden="1">
      <c r="C25" s="1640" t="s">
        <v>1292</v>
      </c>
      <c r="D25" s="1641">
        <f>IFERROR((Indexador!J49+Indexador!P49)*Resultado!D26/(Resultado!D25+Resultado!D26),0)</f>
        <v>0</v>
      </c>
      <c r="E25" s="1618">
        <f t="shared" ca="1" si="0"/>
        <v>0</v>
      </c>
      <c r="F25" s="1642" t="s">
        <v>2236</v>
      </c>
      <c r="G25" s="1643" t="s">
        <v>2270</v>
      </c>
      <c r="H25" s="1644">
        <f>IFERROR(VLOOKUP(Financeiros[[#This Row],[Tipo]],RefTabTipo[],2,FALSE),0)</f>
        <v>22</v>
      </c>
      <c r="I25" s="1645">
        <f>IFERROR(VLOOKUP(Financeiros[[#This Row],[Tipo]],RefTabTipo[],3,FALSE),0)</f>
        <v>60</v>
      </c>
      <c r="J25" s="1646">
        <f>IFERROR(VLOOKUP(Financeiros[[#This Row],[Tipo]],RefTabTipo[],4,FALSE),0)</f>
        <v>999</v>
      </c>
      <c r="K25" s="1647">
        <f>IFERROR(VLOOKUP(Financeiros[[#This Row],[Grupo Tarifário]],RefTabGrupoTarifa[],2,FALSE),0)</f>
        <v>1</v>
      </c>
      <c r="L25" s="1644">
        <f>IFERROR(VLOOKUP(Financeiros[[#This Row],[Grupo Tarifário]],RefTabGrupoTarifa[],3,FALSE),0)</f>
        <v>2</v>
      </c>
      <c r="M25" s="1647">
        <f>IFERROR(VLOOKUP(Financeiros[[#This Row],[Grupo Tarifário]],RefTabGrupoTarifa[],4,FALSE),0)</f>
        <v>9</v>
      </c>
      <c r="T25" s="845" t="s">
        <v>2256</v>
      </c>
      <c r="U25" s="845">
        <v>2</v>
      </c>
      <c r="V25" s="845">
        <v>11</v>
      </c>
      <c r="W25" s="845">
        <v>9</v>
      </c>
    </row>
    <row r="26" spans="3:23" ht="16.5" hidden="1">
      <c r="C26" s="1652" t="s">
        <v>1293</v>
      </c>
      <c r="D26" s="1653">
        <v>0</v>
      </c>
      <c r="E26" s="1618">
        <f t="shared" ca="1" si="0"/>
        <v>0</v>
      </c>
      <c r="F26" s="1602" t="s">
        <v>2231</v>
      </c>
      <c r="G26" s="1623" t="s">
        <v>104</v>
      </c>
      <c r="H26" s="1603">
        <f>IFERROR(VLOOKUP(Financeiros[[#This Row],[Tipo]],RefTabTipo[],2,FALSE),0)</f>
        <v>22</v>
      </c>
      <c r="I26" s="1629">
        <f>IFERROR(VLOOKUP(Financeiros[[#This Row],[Tipo]],RefTabTipo[],3,FALSE),0)</f>
        <v>60</v>
      </c>
      <c r="J26" s="1604">
        <f>IFERROR(VLOOKUP(Financeiros[[#This Row],[Tipo]],RefTabTipo[],4,FALSE),0)</f>
        <v>167</v>
      </c>
      <c r="K26" s="1635">
        <f>IFERROR(VLOOKUP(Financeiros[[#This Row],[Grupo Tarifário]],RefTabGrupoTarifa[],2,FALSE),0)</f>
        <v>4</v>
      </c>
      <c r="L26" s="1603">
        <f>IFERROR(VLOOKUP(Financeiros[[#This Row],[Grupo Tarifário]],RefTabGrupoTarifa[],3,FALSE),0)</f>
        <v>999</v>
      </c>
      <c r="M26" s="1635">
        <f>IFERROR(VLOOKUP(Financeiros[[#This Row],[Grupo Tarifário]],RefTabGrupoTarifa[],4,FALSE),0)</f>
        <v>9</v>
      </c>
      <c r="T26" s="845" t="s">
        <v>2257</v>
      </c>
      <c r="U26" s="845">
        <v>2</v>
      </c>
      <c r="V26" s="845">
        <v>30</v>
      </c>
      <c r="W26" s="845">
        <v>9</v>
      </c>
    </row>
    <row r="27" spans="3:23" ht="16.5" hidden="1">
      <c r="C27" s="1652" t="s">
        <v>2068</v>
      </c>
      <c r="D27" s="1653"/>
      <c r="E27" s="1618">
        <f t="shared" ca="1" si="0"/>
        <v>0</v>
      </c>
      <c r="F27" s="1602" t="s">
        <v>2236</v>
      </c>
      <c r="G27" s="1623" t="s">
        <v>2249</v>
      </c>
      <c r="H27" s="1603">
        <f>IFERROR(VLOOKUP(Financeiros[[#This Row],[Tipo]],RefTabTipo[],2,FALSE),0)</f>
        <v>22</v>
      </c>
      <c r="I27" s="1629">
        <f>IFERROR(VLOOKUP(Financeiros[[#This Row],[Tipo]],RefTabTipo[],3,FALSE),0)</f>
        <v>60</v>
      </c>
      <c r="J27" s="1604">
        <f>IFERROR(VLOOKUP(Financeiros[[#This Row],[Tipo]],RefTabTipo[],4,FALSE),0)</f>
        <v>999</v>
      </c>
      <c r="K27" s="1635">
        <f>IFERROR(VLOOKUP(Financeiros[[#This Row],[Grupo Tarifário]],RefTabGrupoTarifa[],2,FALSE),0)</f>
        <v>3</v>
      </c>
      <c r="L27" s="1603">
        <f>IFERROR(VLOOKUP(Financeiros[[#This Row],[Grupo Tarifário]],RefTabGrupoTarifa[],3,FALSE),0)</f>
        <v>28</v>
      </c>
      <c r="M27" s="1635">
        <f>IFERROR(VLOOKUP(Financeiros[[#This Row],[Grupo Tarifário]],RefTabGrupoTarifa[],4,FALSE),0)</f>
        <v>9</v>
      </c>
      <c r="T27" s="845" t="s">
        <v>2258</v>
      </c>
      <c r="U27" s="845">
        <v>2</v>
      </c>
      <c r="V27" s="845">
        <v>9</v>
      </c>
      <c r="W27" s="845">
        <v>9</v>
      </c>
    </row>
    <row r="28" spans="3:23" ht="16.5" hidden="1">
      <c r="C28" s="1616" t="s">
        <v>2046</v>
      </c>
      <c r="D28" s="1444"/>
      <c r="E28" s="1618">
        <f t="shared" ca="1" si="0"/>
        <v>0</v>
      </c>
      <c r="F28" s="1596" t="s">
        <v>2236</v>
      </c>
      <c r="G28" s="1620" t="s">
        <v>2257</v>
      </c>
      <c r="H28" s="1601">
        <f>IFERROR(VLOOKUP(Financeiros[[#This Row],[Tipo]],RefTabTipo[],2,FALSE),0)</f>
        <v>22</v>
      </c>
      <c r="I28" s="1626">
        <f>IFERROR(VLOOKUP(Financeiros[[#This Row],[Tipo]],RefTabTipo[],3,FALSE),0)</f>
        <v>60</v>
      </c>
      <c r="J28" s="1601">
        <f>IFERROR(VLOOKUP(Financeiros[[#This Row],[Tipo]],RefTabTipo[],4,FALSE),0)</f>
        <v>999</v>
      </c>
      <c r="K28" s="1626">
        <f>IFERROR(VLOOKUP(Financeiros[[#This Row],[Grupo Tarifário]],RefTabGrupoTarifa[],2,FALSE),0)</f>
        <v>2</v>
      </c>
      <c r="L28" s="1601">
        <f>IFERROR(VLOOKUP(Financeiros[[#This Row],[Grupo Tarifário]],RefTabGrupoTarifa[],3,FALSE),0)</f>
        <v>30</v>
      </c>
      <c r="M28" s="1626">
        <f>IFERROR(VLOOKUP(Financeiros[[#This Row],[Grupo Tarifário]],RefTabGrupoTarifa[],4,FALSE),0)</f>
        <v>9</v>
      </c>
      <c r="T28" s="845" t="s">
        <v>2259</v>
      </c>
      <c r="U28" s="845">
        <v>2</v>
      </c>
      <c r="V28" s="845">
        <v>10</v>
      </c>
      <c r="W28" s="845">
        <v>9</v>
      </c>
    </row>
    <row r="29" spans="3:23" ht="16.5">
      <c r="C29" s="1617" t="s">
        <v>1294</v>
      </c>
      <c r="D29" s="1444">
        <f>(Indexador!H49)</f>
        <v>-33595.792543624571</v>
      </c>
      <c r="E29" s="1618">
        <f t="shared" ca="1" si="0"/>
        <v>-2.888294126520479E-3</v>
      </c>
      <c r="F29" s="1661" t="s">
        <v>2238</v>
      </c>
      <c r="G29" s="1662" t="s">
        <v>2268</v>
      </c>
      <c r="H29" s="1663">
        <f>IFERROR(VLOOKUP(Financeiros[[#This Row],[Tipo]],RefTabTipo[],2,FALSE),0)</f>
        <v>22</v>
      </c>
      <c r="I29" s="1626">
        <f>IFERROR(VLOOKUP(Financeiros[[#This Row],[Tipo]],RefTabTipo[],3,FALSE),0)</f>
        <v>60</v>
      </c>
      <c r="J29" s="1601">
        <f>IFERROR(VLOOKUP(Financeiros[[#This Row],[Tipo]],RefTabTipo[],4,FALSE),0)</f>
        <v>178</v>
      </c>
      <c r="K29" s="1664">
        <f>IFERROR(VLOOKUP(Financeiros[[#This Row],[Grupo Tarifário]],RefTabGrupoTarifa[],2,FALSE),0)</f>
        <v>1</v>
      </c>
      <c r="L29" s="1663">
        <f>IFERROR(VLOOKUP(Financeiros[[#This Row],[Grupo Tarifário]],RefTabGrupoTarifa[],3,FALSE),0)</f>
        <v>7</v>
      </c>
      <c r="M29" s="1664">
        <f>IFERROR(VLOOKUP(Financeiros[[#This Row],[Grupo Tarifário]],RefTabGrupoTarifa[],4,FALSE),0)</f>
        <v>9</v>
      </c>
      <c r="T29" s="845" t="s">
        <v>2260</v>
      </c>
      <c r="U29" s="845">
        <v>2</v>
      </c>
      <c r="V29" s="845">
        <v>24</v>
      </c>
      <c r="W29" s="845">
        <v>9</v>
      </c>
    </row>
    <row r="30" spans="3:23" ht="16.5">
      <c r="C30" s="1617" t="s">
        <v>1295</v>
      </c>
      <c r="D30" s="1444">
        <f ca="1">-LnkTXTISubvencaoPB</f>
        <v>-1494125.1525960967</v>
      </c>
      <c r="E30" s="1618">
        <f t="shared" ca="1" si="0"/>
        <v>-0.1284527786307206</v>
      </c>
      <c r="F30" s="1661" t="s">
        <v>2409</v>
      </c>
      <c r="G30" s="1662" t="s">
        <v>104</v>
      </c>
      <c r="H30" s="1663">
        <f>IFERROR(VLOOKUP(Financeiros[[#This Row],[Tipo]],RefTabTipo[],2,FALSE),0)</f>
        <v>22</v>
      </c>
      <c r="I30" s="1626">
        <f>IFERROR(VLOOKUP(Financeiros[[#This Row],[Tipo]],RefTabTipo[],3,FALSE),0)</f>
        <v>60</v>
      </c>
      <c r="J30" s="1601">
        <f>IFERROR(VLOOKUP(Financeiros[[#This Row],[Tipo]],RefTabTipo[],4,FALSE),0)</f>
        <v>242</v>
      </c>
      <c r="K30" s="1664">
        <f>IFERROR(VLOOKUP(Financeiros[[#This Row],[Grupo Tarifário]],RefTabGrupoTarifa[],2,FALSE),0)</f>
        <v>4</v>
      </c>
      <c r="L30" s="1663">
        <f>IFERROR(VLOOKUP(Financeiros[[#This Row],[Grupo Tarifário]],RefTabGrupoTarifa[],3,FALSE),0)</f>
        <v>999</v>
      </c>
      <c r="M30" s="1664">
        <f>IFERROR(VLOOKUP(Financeiros[[#This Row],[Grupo Tarifário]],RefTabGrupoTarifa[],4,FALSE),0)</f>
        <v>9</v>
      </c>
      <c r="T30" s="845" t="s">
        <v>2261</v>
      </c>
      <c r="U30" s="845">
        <v>2</v>
      </c>
      <c r="V30" s="845">
        <v>8</v>
      </c>
      <c r="W30" s="845">
        <v>9</v>
      </c>
    </row>
    <row r="31" spans="3:23" ht="16.5">
      <c r="C31" s="1616" t="s">
        <v>1296</v>
      </c>
      <c r="D31" s="1444">
        <f>IFERROR(-ABS(Indexador!$L$49),0)</f>
        <v>-95594.391468786154</v>
      </c>
      <c r="E31" s="1618">
        <f t="shared" ca="1" si="0"/>
        <v>-8.2184314910585567E-3</v>
      </c>
      <c r="F31" s="1661" t="s">
        <v>2236</v>
      </c>
      <c r="G31" s="1662" t="s">
        <v>2257</v>
      </c>
      <c r="H31" s="1663">
        <f>IFERROR(VLOOKUP(Financeiros[[#This Row],[Tipo]],RefTabTipo[],2,FALSE),0)</f>
        <v>22</v>
      </c>
      <c r="I31" s="1626">
        <f>IFERROR(VLOOKUP(Financeiros[[#This Row],[Tipo]],RefTabTipo[],3,FALSE),0)</f>
        <v>60</v>
      </c>
      <c r="J31" s="1601">
        <f>IFERROR(VLOOKUP(Financeiros[[#This Row],[Tipo]],RefTabTipo[],4,FALSE),0)</f>
        <v>999</v>
      </c>
      <c r="K31" s="1664">
        <f>IFERROR(VLOOKUP(Financeiros[[#This Row],[Grupo Tarifário]],RefTabGrupoTarifa[],2,FALSE),0)</f>
        <v>2</v>
      </c>
      <c r="L31" s="1663">
        <f>IFERROR(VLOOKUP(Financeiros[[#This Row],[Grupo Tarifário]],RefTabGrupoTarifa[],3,FALSE),0)</f>
        <v>30</v>
      </c>
      <c r="M31" s="1664">
        <f>IFERROR(VLOOKUP(Financeiros[[#This Row],[Grupo Tarifário]],RefTabGrupoTarifa[],4,FALSE),0)</f>
        <v>9</v>
      </c>
      <c r="N31" s="92"/>
      <c r="T31" s="845" t="s">
        <v>2262</v>
      </c>
      <c r="U31" s="845">
        <v>3</v>
      </c>
      <c r="V31" s="845">
        <v>40</v>
      </c>
      <c r="W31" s="845">
        <v>9</v>
      </c>
    </row>
    <row r="32" spans="3:23" ht="16.5" hidden="1">
      <c r="C32" s="1616" t="s">
        <v>1297</v>
      </c>
      <c r="D32" s="1444"/>
      <c r="E32" s="1618">
        <f t="shared" ca="1" si="0"/>
        <v>0</v>
      </c>
      <c r="F32" s="1661" t="s">
        <v>2233</v>
      </c>
      <c r="G32" s="1662" t="s">
        <v>104</v>
      </c>
      <c r="H32" s="1663">
        <f>IFERROR(VLOOKUP(Financeiros[[#This Row],[Tipo]],RefTabTipo[],2,FALSE),0)</f>
        <v>22</v>
      </c>
      <c r="I32" s="1626">
        <f>IFERROR(VLOOKUP(Financeiros[[#This Row],[Tipo]],RefTabTipo[],3,FALSE),0)</f>
        <v>60</v>
      </c>
      <c r="J32" s="1601">
        <f>IFERROR(VLOOKUP(Financeiros[[#This Row],[Tipo]],RefTabTipo[],4,FALSE),0)</f>
        <v>120</v>
      </c>
      <c r="K32" s="1664">
        <f>IFERROR(VLOOKUP(Financeiros[[#This Row],[Grupo Tarifário]],RefTabGrupoTarifa[],2,FALSE),0)</f>
        <v>4</v>
      </c>
      <c r="L32" s="1663">
        <f>IFERROR(VLOOKUP(Financeiros[[#This Row],[Grupo Tarifário]],RefTabGrupoTarifa[],3,FALSE),0)</f>
        <v>999</v>
      </c>
      <c r="M32" s="1664">
        <f>IFERROR(VLOOKUP(Financeiros[[#This Row],[Grupo Tarifário]],RefTabGrupoTarifa[],4,FALSE),0)</f>
        <v>9</v>
      </c>
      <c r="N32" s="92"/>
      <c r="T32" s="845" t="s">
        <v>104</v>
      </c>
      <c r="U32" s="845">
        <v>4</v>
      </c>
      <c r="V32" s="845">
        <v>999</v>
      </c>
      <c r="W32" s="845">
        <v>9</v>
      </c>
    </row>
    <row r="33" spans="3:23" ht="16.5" hidden="1">
      <c r="C33" s="1617" t="s">
        <v>1298</v>
      </c>
      <c r="D33" s="1444">
        <f>'Tributos suprimento'!$E$18</f>
        <v>0</v>
      </c>
      <c r="E33" s="1618">
        <f t="shared" ca="1" si="0"/>
        <v>0</v>
      </c>
      <c r="F33" s="1661" t="s">
        <v>2236</v>
      </c>
      <c r="G33" s="1662" t="s">
        <v>2268</v>
      </c>
      <c r="H33" s="1663">
        <f>IFERROR(VLOOKUP(Financeiros[[#This Row],[Tipo]],RefTabTipo[],2,FALSE),0)</f>
        <v>22</v>
      </c>
      <c r="I33" s="1626">
        <f>IFERROR(VLOOKUP(Financeiros[[#This Row],[Tipo]],RefTabTipo[],3,FALSE),0)</f>
        <v>60</v>
      </c>
      <c r="J33" s="1601">
        <f>IFERROR(VLOOKUP(Financeiros[[#This Row],[Tipo]],RefTabTipo[],4,FALSE),0)</f>
        <v>999</v>
      </c>
      <c r="K33" s="1664">
        <f>IFERROR(VLOOKUP(Financeiros[[#This Row],[Grupo Tarifário]],RefTabGrupoTarifa[],2,FALSE),0)</f>
        <v>1</v>
      </c>
      <c r="L33" s="1663">
        <f>IFERROR(VLOOKUP(Financeiros[[#This Row],[Grupo Tarifário]],RefTabGrupoTarifa[],3,FALSE),0)</f>
        <v>7</v>
      </c>
      <c r="M33" s="1664">
        <f>IFERROR(VLOOKUP(Financeiros[[#This Row],[Grupo Tarifário]],RefTabGrupoTarifa[],4,FALSE),0)</f>
        <v>9</v>
      </c>
      <c r="N33" s="92"/>
      <c r="T33" s="845" t="s">
        <v>2263</v>
      </c>
      <c r="U33" s="845">
        <v>5</v>
      </c>
      <c r="V33" s="845">
        <v>999</v>
      </c>
      <c r="W33" s="845">
        <v>9</v>
      </c>
    </row>
    <row r="34" spans="3:23" ht="16.5" hidden="1">
      <c r="C34" s="1617" t="s">
        <v>1299</v>
      </c>
      <c r="D34" s="1444">
        <f>'Tributos suprimento'!$E$19</f>
        <v>0</v>
      </c>
      <c r="E34" s="1618">
        <f t="shared" ca="1" si="0"/>
        <v>0</v>
      </c>
      <c r="F34" s="1661" t="s">
        <v>2236</v>
      </c>
      <c r="G34" s="1662" t="s">
        <v>2257</v>
      </c>
      <c r="H34" s="1663">
        <f>IFERROR(VLOOKUP(Financeiros[[#This Row],[Tipo]],RefTabTipo[],2,FALSE),0)</f>
        <v>22</v>
      </c>
      <c r="I34" s="1626">
        <f>IFERROR(VLOOKUP(Financeiros[[#This Row],[Tipo]],RefTabTipo[],3,FALSE),0)</f>
        <v>60</v>
      </c>
      <c r="J34" s="1601">
        <f>IFERROR(VLOOKUP(Financeiros[[#This Row],[Tipo]],RefTabTipo[],4,FALSE),0)</f>
        <v>999</v>
      </c>
      <c r="K34" s="1664">
        <f>IFERROR(VLOOKUP(Financeiros[[#This Row],[Grupo Tarifário]],RefTabGrupoTarifa[],2,FALSE),0)</f>
        <v>2</v>
      </c>
      <c r="L34" s="1663">
        <f>IFERROR(VLOOKUP(Financeiros[[#This Row],[Grupo Tarifário]],RefTabGrupoTarifa[],3,FALSE),0)</f>
        <v>30</v>
      </c>
      <c r="M34" s="1664">
        <f>IFERROR(VLOOKUP(Financeiros[[#This Row],[Grupo Tarifário]],RefTabGrupoTarifa[],4,FALSE),0)</f>
        <v>9</v>
      </c>
      <c r="T34" s="845" t="s">
        <v>2264</v>
      </c>
      <c r="U34" s="845">
        <v>1</v>
      </c>
      <c r="V34" s="845">
        <v>1</v>
      </c>
      <c r="W34" s="845">
        <v>9</v>
      </c>
    </row>
    <row r="35" spans="3:23" ht="16.5" hidden="1">
      <c r="C35" s="1617" t="s">
        <v>1300</v>
      </c>
      <c r="D35" s="625"/>
      <c r="E35" s="1618">
        <f t="shared" ca="1" si="0"/>
        <v>0</v>
      </c>
      <c r="F35" s="1661" t="s">
        <v>2236</v>
      </c>
      <c r="G35" s="1662" t="s">
        <v>2252</v>
      </c>
      <c r="H35" s="1663">
        <f>IFERROR(VLOOKUP(Financeiros[[#This Row],[Tipo]],RefTabTipo[],2,FALSE),0)</f>
        <v>22</v>
      </c>
      <c r="I35" s="1626">
        <f>IFERROR(VLOOKUP(Financeiros[[#This Row],[Tipo]],RefTabTipo[],3,FALSE),0)</f>
        <v>60</v>
      </c>
      <c r="J35" s="1601">
        <f>IFERROR(VLOOKUP(Financeiros[[#This Row],[Tipo]],RefTabTipo[],4,FALSE),0)</f>
        <v>999</v>
      </c>
      <c r="K35" s="1664">
        <f>IFERROR(VLOOKUP(Financeiros[[#This Row],[Grupo Tarifário]],RefTabGrupoTarifa[],2,FALSE),0)</f>
        <v>3</v>
      </c>
      <c r="L35" s="1663">
        <f>IFERROR(VLOOKUP(Financeiros[[#This Row],[Grupo Tarifário]],RefTabGrupoTarifa[],3,FALSE),0)</f>
        <v>19</v>
      </c>
      <c r="M35" s="1664">
        <f>IFERROR(VLOOKUP(Financeiros[[#This Row],[Grupo Tarifário]],RefTabGrupoTarifa[],4,FALSE),0)</f>
        <v>9</v>
      </c>
      <c r="T35" s="845" t="s">
        <v>2265</v>
      </c>
      <c r="U35" s="845">
        <v>1</v>
      </c>
      <c r="V35" s="845">
        <v>22</v>
      </c>
      <c r="W35" s="845">
        <v>9</v>
      </c>
    </row>
    <row r="36" spans="3:23" ht="16.5" hidden="1">
      <c r="C36" s="1617" t="s">
        <v>1301</v>
      </c>
      <c r="D36" s="1665"/>
      <c r="E36" s="1618">
        <f t="shared" ca="1" si="0"/>
        <v>0</v>
      </c>
      <c r="F36" s="1661" t="s">
        <v>2236</v>
      </c>
      <c r="G36" s="1662" t="s">
        <v>104</v>
      </c>
      <c r="H36" s="1663">
        <f>IFERROR(VLOOKUP(Financeiros[[#This Row],[Tipo]],RefTabTipo[],2,FALSE),0)</f>
        <v>22</v>
      </c>
      <c r="I36" s="1626">
        <f>IFERROR(VLOOKUP(Financeiros[[#This Row],[Tipo]],RefTabTipo[],3,FALSE),0)</f>
        <v>60</v>
      </c>
      <c r="J36" s="1601">
        <f>IFERROR(VLOOKUP(Financeiros[[#This Row],[Tipo]],RefTabTipo[],4,FALSE),0)</f>
        <v>999</v>
      </c>
      <c r="K36" s="1664">
        <f>IFERROR(VLOOKUP(Financeiros[[#This Row],[Grupo Tarifário]],RefTabGrupoTarifa[],2,FALSE),0)</f>
        <v>4</v>
      </c>
      <c r="L36" s="1663">
        <f>IFERROR(VLOOKUP(Financeiros[[#This Row],[Grupo Tarifário]],RefTabGrupoTarifa[],3,FALSE),0)</f>
        <v>999</v>
      </c>
      <c r="M36" s="1664">
        <f>IFERROR(VLOOKUP(Financeiros[[#This Row],[Grupo Tarifário]],RefTabGrupoTarifa[],4,FALSE),0)</f>
        <v>9</v>
      </c>
      <c r="T36" s="845" t="s">
        <v>2266</v>
      </c>
      <c r="U36" s="845">
        <v>1</v>
      </c>
      <c r="V36" s="845">
        <v>4</v>
      </c>
      <c r="W36" s="845">
        <v>9</v>
      </c>
    </row>
    <row r="37" spans="3:23" ht="16.5" hidden="1">
      <c r="C37" s="1617" t="s">
        <v>2386</v>
      </c>
      <c r="D37" s="1666"/>
      <c r="E37" s="1618">
        <f t="shared" ca="1" si="0"/>
        <v>0</v>
      </c>
      <c r="F37" s="1661"/>
      <c r="G37" s="1662"/>
      <c r="H37" s="1663"/>
      <c r="I37" s="1626"/>
      <c r="J37" s="1601"/>
      <c r="K37" s="1664"/>
      <c r="L37" s="1663"/>
      <c r="M37" s="1664"/>
      <c r="T37" s="845" t="s">
        <v>2267</v>
      </c>
      <c r="U37" s="845">
        <v>1</v>
      </c>
      <c r="V37" s="845">
        <v>3</v>
      </c>
      <c r="W37" s="845">
        <v>9</v>
      </c>
    </row>
    <row r="38" spans="3:23" ht="16.5" hidden="1">
      <c r="C38" s="1617" t="s">
        <v>1302</v>
      </c>
      <c r="D38" s="625"/>
      <c r="E38" s="1618">
        <f t="shared" ca="1" si="0"/>
        <v>0</v>
      </c>
      <c r="F38" s="1661" t="s">
        <v>2236</v>
      </c>
      <c r="G38" s="1662" t="s">
        <v>2257</v>
      </c>
      <c r="H38" s="1663">
        <f>IFERROR(VLOOKUP(Financeiros[[#This Row],[Tipo]],RefTabTipo[],2,FALSE),0)</f>
        <v>22</v>
      </c>
      <c r="I38" s="1626">
        <f>IFERROR(VLOOKUP(Financeiros[[#This Row],[Tipo]],RefTabTipo[],3,FALSE),0)</f>
        <v>60</v>
      </c>
      <c r="J38" s="1601">
        <f>IFERROR(VLOOKUP(Financeiros[[#This Row],[Tipo]],RefTabTipo[],4,FALSE),0)</f>
        <v>999</v>
      </c>
      <c r="K38" s="1664">
        <f>IFERROR(VLOOKUP(Financeiros[[#This Row],[Grupo Tarifário]],RefTabGrupoTarifa[],2,FALSE),0)</f>
        <v>2</v>
      </c>
      <c r="L38" s="1663">
        <f>IFERROR(VLOOKUP(Financeiros[[#This Row],[Grupo Tarifário]],RefTabGrupoTarifa[],3,FALSE),0)</f>
        <v>30</v>
      </c>
      <c r="M38" s="1664">
        <f>IFERROR(VLOOKUP(Financeiros[[#This Row],[Grupo Tarifário]],RefTabGrupoTarifa[],4,FALSE),0)</f>
        <v>9</v>
      </c>
      <c r="T38" s="845" t="s">
        <v>2268</v>
      </c>
      <c r="U38" s="845">
        <v>1</v>
      </c>
      <c r="V38" s="845">
        <v>7</v>
      </c>
      <c r="W38" s="845">
        <v>9</v>
      </c>
    </row>
    <row r="39" spans="3:23" ht="16.5" hidden="1">
      <c r="C39" s="1617" t="s">
        <v>1303</v>
      </c>
      <c r="D39" s="625">
        <f>-ABS(PIS_COFINS!$R$4)</f>
        <v>0</v>
      </c>
      <c r="E39" s="1618">
        <f t="shared" ca="1" si="0"/>
        <v>0</v>
      </c>
      <c r="F39" s="1661" t="s">
        <v>2235</v>
      </c>
      <c r="G39" s="1662" t="s">
        <v>2242</v>
      </c>
      <c r="H39" s="1663">
        <f>IFERROR(VLOOKUP(Financeiros[[#This Row],[Tipo]],RefTabTipo[],2,FALSE),0)</f>
        <v>22</v>
      </c>
      <c r="I39" s="1626">
        <f>IFERROR(VLOOKUP(Financeiros[[#This Row],[Tipo]],RefTabTipo[],3,FALSE),0)</f>
        <v>60</v>
      </c>
      <c r="J39" s="1601">
        <f>IFERROR(VLOOKUP(Financeiros[[#This Row],[Tipo]],RefTabTipo[],4,FALSE),0)</f>
        <v>179</v>
      </c>
      <c r="K39" s="1664">
        <f>IFERROR(VLOOKUP(Financeiros[[#This Row],[Grupo Tarifário]],RefTabGrupoTarifa[],2,FALSE),0)</f>
        <v>99</v>
      </c>
      <c r="L39" s="1663">
        <f>IFERROR(VLOOKUP(Financeiros[[#This Row],[Grupo Tarifário]],RefTabGrupoTarifa[],3,FALSE),0)</f>
        <v>999</v>
      </c>
      <c r="M39" s="1664">
        <f>IFERROR(VLOOKUP(Financeiros[[#This Row],[Grupo Tarifário]],RefTabGrupoTarifa[],4,FALSE),0)</f>
        <v>3</v>
      </c>
      <c r="T39" s="845" t="s">
        <v>2269</v>
      </c>
      <c r="U39" s="845">
        <v>1</v>
      </c>
      <c r="V39" s="845">
        <v>23</v>
      </c>
      <c r="W39" s="845">
        <v>9</v>
      </c>
    </row>
    <row r="40" spans="3:23" ht="16.5" hidden="1">
      <c r="C40" s="1753" t="s">
        <v>2397</v>
      </c>
      <c r="D40" s="1760"/>
      <c r="E40" s="1618">
        <f t="shared" ca="1" si="0"/>
        <v>0</v>
      </c>
      <c r="F40" s="1661" t="s">
        <v>2236</v>
      </c>
      <c r="G40" s="1662" t="s">
        <v>2268</v>
      </c>
      <c r="H40" s="1663">
        <f>IFERROR(VLOOKUP(Financeiros[[#This Row],[Tipo]],RefTabTipo[],2,FALSE),0)</f>
        <v>22</v>
      </c>
      <c r="I40" s="1626">
        <f>IFERROR(VLOOKUP(Financeiros[[#This Row],[Tipo]],RefTabTipo[],3,FALSE),0)</f>
        <v>60</v>
      </c>
      <c r="J40" s="1601">
        <f>IFERROR(VLOOKUP(Financeiros[[#This Row],[Tipo]],RefTabTipo[],4,FALSE),0)</f>
        <v>999</v>
      </c>
      <c r="K40" s="1664">
        <f>IFERROR(VLOOKUP(Financeiros[[#This Row],[Grupo Tarifário]],RefTabGrupoTarifa[],2,FALSE),0)</f>
        <v>1</v>
      </c>
      <c r="L40" s="1663">
        <f>IFERROR(VLOOKUP(Financeiros[[#This Row],[Grupo Tarifário]],RefTabGrupoTarifa[],3,FALSE),0)</f>
        <v>7</v>
      </c>
      <c r="M40" s="1664">
        <f>IFERROR(VLOOKUP(Financeiros[[#This Row],[Grupo Tarifário]],RefTabGrupoTarifa[],4,FALSE),0)</f>
        <v>9</v>
      </c>
      <c r="T40" s="845" t="s">
        <v>2270</v>
      </c>
      <c r="U40" s="845">
        <v>1</v>
      </c>
      <c r="V40" s="845">
        <v>2</v>
      </c>
      <c r="W40" s="845">
        <v>9</v>
      </c>
    </row>
    <row r="41" spans="3:23" ht="16.5" hidden="1">
      <c r="C41" s="1753" t="s">
        <v>2398</v>
      </c>
      <c r="D41" s="1760"/>
      <c r="E41" s="1618">
        <f t="shared" ca="1" si="0"/>
        <v>0</v>
      </c>
      <c r="F41" s="1661" t="s">
        <v>2236</v>
      </c>
      <c r="G41" s="1662" t="s">
        <v>2257</v>
      </c>
      <c r="H41" s="1663">
        <f>IFERROR(VLOOKUP(Financeiros[[#This Row],[Tipo]],RefTabTipo[],2,FALSE),0)</f>
        <v>22</v>
      </c>
      <c r="I41" s="1626">
        <f>IFERROR(VLOOKUP(Financeiros[[#This Row],[Tipo]],RefTabTipo[],3,FALSE),0)</f>
        <v>60</v>
      </c>
      <c r="J41" s="1601">
        <f>IFERROR(VLOOKUP(Financeiros[[#This Row],[Tipo]],RefTabTipo[],4,FALSE),0)</f>
        <v>999</v>
      </c>
      <c r="K41" s="1664">
        <f>IFERROR(VLOOKUP(Financeiros[[#This Row],[Grupo Tarifário]],RefTabGrupoTarifa[],2,FALSE),0)</f>
        <v>2</v>
      </c>
      <c r="L41" s="1663">
        <f>IFERROR(VLOOKUP(Financeiros[[#This Row],[Grupo Tarifário]],RefTabGrupoTarifa[],3,FALSE),0)</f>
        <v>30</v>
      </c>
      <c r="M41" s="1664">
        <f>IFERROR(VLOOKUP(Financeiros[[#This Row],[Grupo Tarifário]],RefTabGrupoTarifa[],4,FALSE),0)</f>
        <v>9</v>
      </c>
      <c r="T41" s="845" t="s">
        <v>2271</v>
      </c>
      <c r="U41" s="845">
        <v>1</v>
      </c>
      <c r="V41" s="845">
        <v>1</v>
      </c>
      <c r="W41" s="845">
        <v>9</v>
      </c>
    </row>
    <row r="42" spans="3:23" ht="16.5" hidden="1">
      <c r="C42" s="1617" t="s">
        <v>1304</v>
      </c>
      <c r="D42" s="625">
        <f>'Financeiros Mitigação'!$D$12</f>
        <v>0</v>
      </c>
      <c r="E42" s="1618">
        <f t="shared" ca="1" si="0"/>
        <v>0</v>
      </c>
      <c r="F42" s="1661" t="s">
        <v>2236</v>
      </c>
      <c r="G42" s="1662" t="s">
        <v>104</v>
      </c>
      <c r="H42" s="1663">
        <f>IFERROR(VLOOKUP(Financeiros[[#This Row],[Tipo]],RefTabTipo[],2,FALSE),0)</f>
        <v>22</v>
      </c>
      <c r="I42" s="1626">
        <f>IFERROR(VLOOKUP(Financeiros[[#This Row],[Tipo]],RefTabTipo[],3,FALSE),0)</f>
        <v>60</v>
      </c>
      <c r="J42" s="1601">
        <f>IFERROR(VLOOKUP(Financeiros[[#This Row],[Tipo]],RefTabTipo[],4,FALSE),0)</f>
        <v>999</v>
      </c>
      <c r="K42" s="1664">
        <f>IFERROR(VLOOKUP(Financeiros[[#This Row],[Grupo Tarifário]],RefTabGrupoTarifa[],2,FALSE),0)</f>
        <v>4</v>
      </c>
      <c r="L42" s="1663">
        <f>IFERROR(VLOOKUP(Financeiros[[#This Row],[Grupo Tarifário]],RefTabGrupoTarifa[],3,FALSE),0)</f>
        <v>999</v>
      </c>
      <c r="M42" s="1664">
        <f>IFERROR(VLOOKUP(Financeiros[[#This Row],[Grupo Tarifário]],RefTabGrupoTarifa[],4,FALSE),0)</f>
        <v>9</v>
      </c>
      <c r="T42" s="845" t="s">
        <v>2272</v>
      </c>
      <c r="U42" s="845">
        <v>1</v>
      </c>
      <c r="V42" s="845">
        <v>21</v>
      </c>
      <c r="W42" s="845">
        <v>9</v>
      </c>
    </row>
    <row r="43" spans="3:23" ht="16.5" hidden="1">
      <c r="C43" s="1617" t="s">
        <v>2276</v>
      </c>
      <c r="D43" s="1654"/>
      <c r="E43" s="1618">
        <f t="shared" ca="1" si="0"/>
        <v>0</v>
      </c>
      <c r="F43" s="1661" t="s">
        <v>2229</v>
      </c>
      <c r="G43" s="1662" t="s">
        <v>104</v>
      </c>
      <c r="H43" s="1667">
        <f>IFERROR(VLOOKUP(Financeiros[[#This Row],[Tipo]],RefTabTipo[],2,FALSE),0)</f>
        <v>22</v>
      </c>
      <c r="I43" s="1626">
        <f>IFERROR(VLOOKUP(Financeiros[[#This Row],[Tipo]],RefTabTipo[],3,FALSE),0)</f>
        <v>60</v>
      </c>
      <c r="J43" s="1601">
        <f>IFERROR(VLOOKUP(Financeiros[[#This Row],[Tipo]],RefTabTipo[],4,FALSE),0)</f>
        <v>235</v>
      </c>
      <c r="K43" s="1668">
        <f>IFERROR(VLOOKUP(Financeiros[[#This Row],[Grupo Tarifário]],RefTabGrupoTarifa[],2,FALSE),0)</f>
        <v>4</v>
      </c>
      <c r="L43" s="1667">
        <f>IFERROR(VLOOKUP(Financeiros[[#This Row],[Grupo Tarifário]],RefTabGrupoTarifa[],3,FALSE),0)</f>
        <v>999</v>
      </c>
      <c r="M43" s="1668">
        <f>IFERROR(VLOOKUP(Financeiros[[#This Row],[Grupo Tarifário]],RefTabGrupoTarifa[],4,FALSE),0)</f>
        <v>9</v>
      </c>
      <c r="T43" s="845" t="s">
        <v>2273</v>
      </c>
      <c r="U43" s="845">
        <v>1</v>
      </c>
      <c r="V43" s="845">
        <v>5</v>
      </c>
      <c r="W43" s="845">
        <v>9</v>
      </c>
    </row>
    <row r="44" spans="3:23" ht="16.5" hidden="1">
      <c r="C44" s="1753" t="s">
        <v>2387</v>
      </c>
      <c r="D44" s="1654"/>
      <c r="E44" s="1618">
        <f t="shared" ca="1" si="0"/>
        <v>0</v>
      </c>
      <c r="F44" s="1754" t="s">
        <v>2236</v>
      </c>
      <c r="G44" s="1755" t="s">
        <v>104</v>
      </c>
      <c r="H44" s="1756">
        <f>IFERROR(VLOOKUP(Financeiros[[#This Row],[Tipo]],RefTabTipo[],2,FALSE),0)</f>
        <v>22</v>
      </c>
      <c r="I44" s="1757">
        <f>IFERROR(VLOOKUP(Financeiros[[#This Row],[Tipo]],RefTabTipo[],3,FALSE),0)</f>
        <v>60</v>
      </c>
      <c r="J44" s="1758">
        <f>IFERROR(VLOOKUP(Financeiros[[#This Row],[Tipo]],RefTabTipo[],4,FALSE),0)</f>
        <v>999</v>
      </c>
      <c r="K44" s="1759">
        <f>IFERROR(VLOOKUP(Financeiros[[#This Row],[Grupo Tarifário]],RefTabGrupoTarifa[],2,FALSE),0)</f>
        <v>4</v>
      </c>
      <c r="L44" s="1756">
        <f>IFERROR(VLOOKUP(Financeiros[[#This Row],[Grupo Tarifário]],RefTabGrupoTarifa[],3,FALSE),0)</f>
        <v>999</v>
      </c>
      <c r="M44" s="1759">
        <f>IFERROR(VLOOKUP(Financeiros[[#This Row],[Grupo Tarifário]],RefTabGrupoTarifa[],4,FALSE),0)</f>
        <v>9</v>
      </c>
      <c r="T44" s="845" t="s">
        <v>2274</v>
      </c>
      <c r="U44" s="845">
        <v>1</v>
      </c>
      <c r="V44" s="845">
        <v>6</v>
      </c>
      <c r="W44" s="845">
        <v>9</v>
      </c>
    </row>
    <row r="45" spans="3:23" ht="16.5" hidden="1">
      <c r="C45" s="1781" t="s">
        <v>2393</v>
      </c>
      <c r="D45" s="1654"/>
      <c r="E45" s="1618">
        <f t="shared" ca="1" si="0"/>
        <v>0</v>
      </c>
      <c r="F45" s="1661"/>
      <c r="G45" s="1662"/>
      <c r="H45" s="1667">
        <f>IFERROR(VLOOKUP(Financeiros[[#This Row],[Tipo]],RefTabTipo[],2,FALSE),0)</f>
        <v>0</v>
      </c>
      <c r="I45" s="1626">
        <f>IFERROR(VLOOKUP(Financeiros[[#This Row],[Tipo]],RefTabTipo[],3,FALSE),0)</f>
        <v>0</v>
      </c>
      <c r="J45" s="1601">
        <f>IFERROR(VLOOKUP(Financeiros[[#This Row],[Tipo]],RefTabTipo[],4,FALSE),0)</f>
        <v>0</v>
      </c>
      <c r="K45" s="1668">
        <f>IFERROR(VLOOKUP(Financeiros[[#This Row],[Grupo Tarifário]],RefTabGrupoTarifa[],2,FALSE),0)</f>
        <v>0</v>
      </c>
      <c r="L45" s="1667">
        <f>IFERROR(VLOOKUP(Financeiros[[#This Row],[Grupo Tarifário]],RefTabGrupoTarifa[],3,FALSE),0)</f>
        <v>0</v>
      </c>
      <c r="M45" s="1668">
        <f>IFERROR(VLOOKUP(Financeiros[[#This Row],[Grupo Tarifário]],RefTabGrupoTarifa[],4,FALSE),0)</f>
        <v>0</v>
      </c>
      <c r="T45" s="845"/>
      <c r="U45" s="845"/>
      <c r="V45" s="845"/>
      <c r="W45" s="845"/>
    </row>
    <row r="46" spans="3:23" ht="16.5" hidden="1">
      <c r="C46" s="1781" t="s">
        <v>2394</v>
      </c>
      <c r="D46" s="625"/>
      <c r="E46" s="1618">
        <f t="shared" ca="1" si="0"/>
        <v>0</v>
      </c>
      <c r="F46" s="1661"/>
      <c r="G46" s="1662"/>
      <c r="H46" s="1663">
        <f>IFERROR(VLOOKUP(Financeiros[[#This Row],[Tipo]],RefTabTipo[],2,FALSE),0)</f>
        <v>0</v>
      </c>
      <c r="I46" s="1626">
        <f>IFERROR(VLOOKUP(Financeiros[[#This Row],[Tipo]],RefTabTipo[],3,FALSE),0)</f>
        <v>0</v>
      </c>
      <c r="J46" s="1601">
        <f>IFERROR(VLOOKUP(Financeiros[[#This Row],[Tipo]],RefTabTipo[],4,FALSE),0)</f>
        <v>0</v>
      </c>
      <c r="K46" s="1664">
        <f>IFERROR(VLOOKUP(Financeiros[[#This Row],[Grupo Tarifário]],RefTabGrupoTarifa[],2,FALSE),0)</f>
        <v>0</v>
      </c>
      <c r="L46" s="1663">
        <f>IFERROR(VLOOKUP(Financeiros[[#This Row],[Grupo Tarifário]],RefTabGrupoTarifa[],3,FALSE),0)</f>
        <v>0</v>
      </c>
      <c r="M46" s="1664">
        <f>IFERROR(VLOOKUP(Financeiros[[#This Row],[Grupo Tarifário]],RefTabGrupoTarifa[],4,FALSE),0)</f>
        <v>0</v>
      </c>
      <c r="T46" s="845"/>
      <c r="U46" s="845"/>
      <c r="V46" s="845"/>
      <c r="W46" s="845"/>
    </row>
    <row r="47" spans="3:23" ht="16.5" hidden="1">
      <c r="C47" s="1781" t="s">
        <v>2395</v>
      </c>
      <c r="D47" s="625"/>
      <c r="E47" s="1618">
        <f t="shared" ca="1" si="0"/>
        <v>0</v>
      </c>
      <c r="F47" s="1661"/>
      <c r="G47" s="1662"/>
      <c r="H47" s="1663">
        <f>IFERROR(VLOOKUP(Financeiros[[#This Row],[Tipo]],RefTabTipo[],2,FALSE),0)</f>
        <v>0</v>
      </c>
      <c r="I47" s="1626">
        <f>IFERROR(VLOOKUP(Financeiros[[#This Row],[Tipo]],RefTabTipo[],3,FALSE),0)</f>
        <v>0</v>
      </c>
      <c r="J47" s="1601">
        <f>IFERROR(VLOOKUP(Financeiros[[#This Row],[Tipo]],RefTabTipo[],4,FALSE),0)</f>
        <v>0</v>
      </c>
      <c r="K47" s="1664">
        <f>IFERROR(VLOOKUP(Financeiros[[#This Row],[Grupo Tarifário]],RefTabGrupoTarifa[],2,FALSE),0)</f>
        <v>0</v>
      </c>
      <c r="L47" s="1663">
        <f>IFERROR(VLOOKUP(Financeiros[[#This Row],[Grupo Tarifário]],RefTabGrupoTarifa[],3,FALSE),0)</f>
        <v>0</v>
      </c>
      <c r="M47" s="1664">
        <f>IFERROR(VLOOKUP(Financeiros[[#This Row],[Grupo Tarifário]],RefTabGrupoTarifa[],4,FALSE),0)</f>
        <v>0</v>
      </c>
    </row>
    <row r="48" spans="3:23" ht="16.5" hidden="1">
      <c r="C48" s="1781" t="s">
        <v>2396</v>
      </c>
      <c r="D48" s="625"/>
      <c r="E48" s="1618">
        <f t="shared" ca="1" si="0"/>
        <v>0</v>
      </c>
      <c r="F48" s="1661"/>
      <c r="G48" s="1662"/>
      <c r="H48" s="1663">
        <f>IFERROR(VLOOKUP(Financeiros[[#This Row],[Tipo]],RefTabTipo[],2,FALSE),0)</f>
        <v>0</v>
      </c>
      <c r="I48" s="1626">
        <f>IFERROR(VLOOKUP(Financeiros[[#This Row],[Tipo]],RefTabTipo[],3,FALSE),0)</f>
        <v>0</v>
      </c>
      <c r="J48" s="1601">
        <f>IFERROR(VLOOKUP(Financeiros[[#This Row],[Tipo]],RefTabTipo[],4,FALSE),0)</f>
        <v>0</v>
      </c>
      <c r="K48" s="1664">
        <f>IFERROR(VLOOKUP(Financeiros[[#This Row],[Grupo Tarifário]],RefTabGrupoTarifa[],2,FALSE),0)</f>
        <v>0</v>
      </c>
      <c r="L48" s="1663">
        <f>IFERROR(VLOOKUP(Financeiros[[#This Row],[Grupo Tarifário]],RefTabGrupoTarifa[],3,FALSE),0)</f>
        <v>0</v>
      </c>
      <c r="M48" s="1664">
        <f>IFERROR(VLOOKUP(Financeiros[[#This Row],[Grupo Tarifário]],RefTabGrupoTarifa[],4,FALSE),0)</f>
        <v>0</v>
      </c>
    </row>
    <row r="49" spans="3:13" ht="16.5" hidden="1">
      <c r="C49" s="1655" t="s">
        <v>2103</v>
      </c>
      <c r="D49" s="1656">
        <f>CVE!$D$9</f>
        <v>0</v>
      </c>
      <c r="E49" s="1618">
        <f t="shared" ca="1" si="0"/>
        <v>0</v>
      </c>
      <c r="F49" s="1608" t="s">
        <v>2232</v>
      </c>
      <c r="G49" s="1621" t="s">
        <v>2244</v>
      </c>
      <c r="H49" s="1609">
        <f>IFERROR(VLOOKUP(Financeiros[[#This Row],[Tipo]],RefTabTipo[],2,FALSE),0)</f>
        <v>22</v>
      </c>
      <c r="I49" s="1627">
        <f>IFERROR(VLOOKUP(Financeiros[[#This Row],[Tipo]],RefTabTipo[],3,FALSE),0)</f>
        <v>60</v>
      </c>
      <c r="J49" s="1610">
        <f>IFERROR(VLOOKUP(Financeiros[[#This Row],[Tipo]],RefTabTipo[],4,FALSE),0)</f>
        <v>241</v>
      </c>
      <c r="K49" s="1633">
        <f>IFERROR(VLOOKUP(Financeiros[[#This Row],[Grupo Tarifário]],RefTabGrupoTarifa[],2,FALSE),0)</f>
        <v>3</v>
      </c>
      <c r="L49" s="1609">
        <f>IFERROR(VLOOKUP(Financeiros[[#This Row],[Grupo Tarifário]],RefTabGrupoTarifa[],3,FALSE),0)</f>
        <v>13</v>
      </c>
      <c r="M49" s="1633">
        <f>IFERROR(VLOOKUP(Financeiros[[#This Row],[Grupo Tarifário]],RefTabGrupoTarifa[],4,FALSE),0)</f>
        <v>9</v>
      </c>
    </row>
    <row r="50" spans="3:13" ht="16.5" hidden="1">
      <c r="C50" s="1655" t="s">
        <v>2104</v>
      </c>
      <c r="D50" s="1656">
        <f>CVE!$D$10</f>
        <v>0</v>
      </c>
      <c r="E50" s="1618">
        <f t="shared" ca="1" si="0"/>
        <v>0</v>
      </c>
      <c r="F50" s="1608" t="s">
        <v>2232</v>
      </c>
      <c r="G50" s="1621" t="s">
        <v>2246</v>
      </c>
      <c r="H50" s="1609">
        <f>IFERROR(VLOOKUP(Financeiros[[#This Row],[Tipo]],RefTabTipo[],2,FALSE),0)</f>
        <v>22</v>
      </c>
      <c r="I50" s="1627">
        <f>IFERROR(VLOOKUP(Financeiros[[#This Row],[Tipo]],RefTabTipo[],3,FALSE),0)</f>
        <v>60</v>
      </c>
      <c r="J50" s="1610">
        <f>IFERROR(VLOOKUP(Financeiros[[#This Row],[Tipo]],RefTabTipo[],4,FALSE),0)</f>
        <v>241</v>
      </c>
      <c r="K50" s="1633">
        <f>IFERROR(VLOOKUP(Financeiros[[#This Row],[Grupo Tarifário]],RefTabGrupoTarifa[],2,FALSE),0)</f>
        <v>3</v>
      </c>
      <c r="L50" s="1609">
        <f>IFERROR(VLOOKUP(Financeiros[[#This Row],[Grupo Tarifário]],RefTabGrupoTarifa[],3,FALSE),0)</f>
        <v>15</v>
      </c>
      <c r="M50" s="1633">
        <f>IFERROR(VLOOKUP(Financeiros[[#This Row],[Grupo Tarifário]],RefTabGrupoTarifa[],4,FALSE),0)</f>
        <v>9</v>
      </c>
    </row>
    <row r="51" spans="3:13" ht="16.5" hidden="1">
      <c r="C51" s="1655" t="s">
        <v>2105</v>
      </c>
      <c r="D51" s="1656">
        <f>CVE!$D$11</f>
        <v>0</v>
      </c>
      <c r="E51" s="1618">
        <f t="shared" ca="1" si="0"/>
        <v>0</v>
      </c>
      <c r="F51" s="1608" t="s">
        <v>2232</v>
      </c>
      <c r="G51" s="1621" t="s">
        <v>2245</v>
      </c>
      <c r="H51" s="1609">
        <f>IFERROR(VLOOKUP(Financeiros[[#This Row],[Tipo]],RefTabTipo[],2,FALSE),0)</f>
        <v>22</v>
      </c>
      <c r="I51" s="1627">
        <f>IFERROR(VLOOKUP(Financeiros[[#This Row],[Tipo]],RefTabTipo[],3,FALSE),0)</f>
        <v>60</v>
      </c>
      <c r="J51" s="1610">
        <f>IFERROR(VLOOKUP(Financeiros[[#This Row],[Tipo]],RefTabTipo[],4,FALSE),0)</f>
        <v>241</v>
      </c>
      <c r="K51" s="1633">
        <f>IFERROR(VLOOKUP(Financeiros[[#This Row],[Grupo Tarifário]],RefTabGrupoTarifa[],2,FALSE),0)</f>
        <v>3</v>
      </c>
      <c r="L51" s="1609">
        <f>IFERROR(VLOOKUP(Financeiros[[#This Row],[Grupo Tarifário]],RefTabGrupoTarifa[],3,FALSE),0)</f>
        <v>25</v>
      </c>
      <c r="M51" s="1633">
        <f>IFERROR(VLOOKUP(Financeiros[[#This Row],[Grupo Tarifário]],RefTabGrupoTarifa[],4,FALSE),0)</f>
        <v>9</v>
      </c>
    </row>
    <row r="52" spans="3:13" ht="16.5" hidden="1">
      <c r="C52" s="1655" t="s">
        <v>2106</v>
      </c>
      <c r="D52" s="1656">
        <f>IFERROR(CVE!$D$12*Resultado!D25/SUM(Resultado!$D$25:$D$29),0)</f>
        <v>0</v>
      </c>
      <c r="E52" s="1618">
        <f t="shared" ca="1" si="0"/>
        <v>0</v>
      </c>
      <c r="F52" s="1608" t="s">
        <v>2232</v>
      </c>
      <c r="G52" s="1621" t="s">
        <v>2264</v>
      </c>
      <c r="H52" s="1609">
        <f>IFERROR(VLOOKUP(Financeiros[[#This Row],[Tipo]],RefTabTipo[],2,FALSE),0)</f>
        <v>22</v>
      </c>
      <c r="I52" s="1627">
        <f>IFERROR(VLOOKUP(Financeiros[[#This Row],[Tipo]],RefTabTipo[],3,FALSE),0)</f>
        <v>60</v>
      </c>
      <c r="J52" s="1610">
        <f>IFERROR(VLOOKUP(Financeiros[[#This Row],[Tipo]],RefTabTipo[],4,FALSE),0)</f>
        <v>241</v>
      </c>
      <c r="K52" s="1633">
        <f>IFERROR(VLOOKUP(Financeiros[[#This Row],[Grupo Tarifário]],RefTabGrupoTarifa[],2,FALSE),0)</f>
        <v>1</v>
      </c>
      <c r="L52" s="1609">
        <f>IFERROR(VLOOKUP(Financeiros[[#This Row],[Grupo Tarifário]],RefTabGrupoTarifa[],3,FALSE),0)</f>
        <v>1</v>
      </c>
      <c r="M52" s="1633">
        <f>IFERROR(VLOOKUP(Financeiros[[#This Row],[Grupo Tarifário]],RefTabGrupoTarifa[],4,FALSE),0)</f>
        <v>9</v>
      </c>
    </row>
    <row r="53" spans="3:13" ht="16.5" hidden="1">
      <c r="C53" s="1655" t="s">
        <v>2107</v>
      </c>
      <c r="D53" s="1656">
        <f>IFERROR(CVE!$D$12*Resultado!D26/SUM(Resultado!$D$25:$D$29),0)</f>
        <v>0</v>
      </c>
      <c r="E53" s="1618">
        <f t="shared" ca="1" si="0"/>
        <v>0</v>
      </c>
      <c r="F53" s="1608" t="s">
        <v>2232</v>
      </c>
      <c r="G53" s="1621" t="s">
        <v>2264</v>
      </c>
      <c r="H53" s="1609">
        <f>IFERROR(VLOOKUP(Financeiros[[#This Row],[Tipo]],RefTabTipo[],2,FALSE),0)</f>
        <v>22</v>
      </c>
      <c r="I53" s="1627">
        <f>IFERROR(VLOOKUP(Financeiros[[#This Row],[Tipo]],RefTabTipo[],3,FALSE),0)</f>
        <v>60</v>
      </c>
      <c r="J53" s="1610">
        <f>IFERROR(VLOOKUP(Financeiros[[#This Row],[Tipo]],RefTabTipo[],4,FALSE),0)</f>
        <v>241</v>
      </c>
      <c r="K53" s="1633">
        <f>IFERROR(VLOOKUP(Financeiros[[#This Row],[Grupo Tarifário]],RefTabGrupoTarifa[],2,FALSE),0)</f>
        <v>1</v>
      </c>
      <c r="L53" s="1609">
        <f>IFERROR(VLOOKUP(Financeiros[[#This Row],[Grupo Tarifário]],RefTabGrupoTarifa[],3,FALSE),0)</f>
        <v>1</v>
      </c>
      <c r="M53" s="1633">
        <f>IFERROR(VLOOKUP(Financeiros[[#This Row],[Grupo Tarifário]],RefTabGrupoTarifa[],4,FALSE),0)</f>
        <v>9</v>
      </c>
    </row>
    <row r="54" spans="3:13" ht="16.5" hidden="1">
      <c r="C54" s="1655" t="s">
        <v>2108</v>
      </c>
      <c r="D54" s="1656">
        <f>IFERROR(CVE!$D$12*Resultado!D28/SUM(Resultado!$D$25:$D$29),0)</f>
        <v>0</v>
      </c>
      <c r="E54" s="1618">
        <f t="shared" ca="1" si="0"/>
        <v>0</v>
      </c>
      <c r="F54" s="1608" t="s">
        <v>2232</v>
      </c>
      <c r="G54" s="1621" t="s">
        <v>2264</v>
      </c>
      <c r="H54" s="1609">
        <f>IFERROR(VLOOKUP(Financeiros[[#This Row],[Tipo]],RefTabTipo[],2,FALSE),0)</f>
        <v>22</v>
      </c>
      <c r="I54" s="1627">
        <f>IFERROR(VLOOKUP(Financeiros[[#This Row],[Tipo]],RefTabTipo[],3,FALSE),0)</f>
        <v>60</v>
      </c>
      <c r="J54" s="1610">
        <f>IFERROR(VLOOKUP(Financeiros[[#This Row],[Tipo]],RefTabTipo[],4,FALSE),0)</f>
        <v>241</v>
      </c>
      <c r="K54" s="1633">
        <f>IFERROR(VLOOKUP(Financeiros[[#This Row],[Grupo Tarifário]],RefTabGrupoTarifa[],2,FALSE),0)</f>
        <v>1</v>
      </c>
      <c r="L54" s="1609">
        <f>IFERROR(VLOOKUP(Financeiros[[#This Row],[Grupo Tarifário]],RefTabGrupoTarifa[],3,FALSE),0)</f>
        <v>1</v>
      </c>
      <c r="M54" s="1633">
        <f>IFERROR(VLOOKUP(Financeiros[[#This Row],[Grupo Tarifário]],RefTabGrupoTarifa[],4,FALSE),0)</f>
        <v>9</v>
      </c>
    </row>
    <row r="55" spans="3:13" ht="16.5" hidden="1">
      <c r="C55" s="1655" t="s">
        <v>2109</v>
      </c>
      <c r="D55" s="1656">
        <f>IFERROR(CVE!$D$12*Resultado!D27/SUM(Resultado!$D$25:$D$29),0)</f>
        <v>0</v>
      </c>
      <c r="E55" s="1618">
        <f t="shared" ca="1" si="0"/>
        <v>0</v>
      </c>
      <c r="F55" s="1608" t="s">
        <v>2232</v>
      </c>
      <c r="G55" s="1621" t="s">
        <v>2264</v>
      </c>
      <c r="H55" s="1609">
        <f>IFERROR(VLOOKUP(Financeiros[[#This Row],[Tipo]],RefTabTipo[],2,FALSE),0)</f>
        <v>22</v>
      </c>
      <c r="I55" s="1627">
        <f>IFERROR(VLOOKUP(Financeiros[[#This Row],[Tipo]],RefTabTipo[],3,FALSE),0)</f>
        <v>60</v>
      </c>
      <c r="J55" s="1610">
        <f>IFERROR(VLOOKUP(Financeiros[[#This Row],[Tipo]],RefTabTipo[],4,FALSE),0)</f>
        <v>241</v>
      </c>
      <c r="K55" s="1633">
        <f>IFERROR(VLOOKUP(Financeiros[[#This Row],[Grupo Tarifário]],RefTabGrupoTarifa[],2,FALSE),0)</f>
        <v>1</v>
      </c>
      <c r="L55" s="1609">
        <f>IFERROR(VLOOKUP(Financeiros[[#This Row],[Grupo Tarifário]],RefTabGrupoTarifa[],3,FALSE),0)</f>
        <v>1</v>
      </c>
      <c r="M55" s="1633">
        <f>IFERROR(VLOOKUP(Financeiros[[#This Row],[Grupo Tarifário]],RefTabGrupoTarifa[],4,FALSE),0)</f>
        <v>9</v>
      </c>
    </row>
    <row r="56" spans="3:13" ht="16.5" hidden="1">
      <c r="C56" s="1655" t="s">
        <v>2110</v>
      </c>
      <c r="D56" s="1656">
        <f>IFERROR(CVE!$D$12*Resultado!D29/SUM(Resultado!$D$25:$D$29),0)</f>
        <v>0</v>
      </c>
      <c r="E56" s="1618">
        <f t="shared" ca="1" si="0"/>
        <v>0</v>
      </c>
      <c r="F56" s="1608" t="s">
        <v>2232</v>
      </c>
      <c r="G56" s="1621" t="s">
        <v>2264</v>
      </c>
      <c r="H56" s="1609">
        <f>IFERROR(VLOOKUP(Financeiros[[#This Row],[Tipo]],RefTabTipo[],2,FALSE),0)</f>
        <v>22</v>
      </c>
      <c r="I56" s="1627">
        <f>IFERROR(VLOOKUP(Financeiros[[#This Row],[Tipo]],RefTabTipo[],3,FALSE),0)</f>
        <v>60</v>
      </c>
      <c r="J56" s="1610">
        <f>IFERROR(VLOOKUP(Financeiros[[#This Row],[Tipo]],RefTabTipo[],4,FALSE),0)</f>
        <v>241</v>
      </c>
      <c r="K56" s="1633">
        <f>IFERROR(VLOOKUP(Financeiros[[#This Row],[Grupo Tarifário]],RefTabGrupoTarifa[],2,FALSE),0)</f>
        <v>1</v>
      </c>
      <c r="L56" s="1609">
        <f>IFERROR(VLOOKUP(Financeiros[[#This Row],[Grupo Tarifário]],RefTabGrupoTarifa[],3,FALSE),0)</f>
        <v>1</v>
      </c>
      <c r="M56" s="1633">
        <f>IFERROR(VLOOKUP(Financeiros[[#This Row],[Grupo Tarifário]],RefTabGrupoTarifa[],4,FALSE),0)</f>
        <v>9</v>
      </c>
    </row>
    <row r="57" spans="3:13" ht="16.5" hidden="1">
      <c r="C57" s="1655" t="s">
        <v>2111</v>
      </c>
      <c r="D57" s="1656">
        <f>CVE!D15</f>
        <v>0</v>
      </c>
      <c r="E57" s="1618">
        <f t="shared" ca="1" si="0"/>
        <v>0</v>
      </c>
      <c r="F57" s="1608" t="s">
        <v>2232</v>
      </c>
      <c r="G57" s="1621" t="s">
        <v>2272</v>
      </c>
      <c r="H57" s="1609">
        <f>IFERROR(VLOOKUP(Financeiros[[#This Row],[Tipo]],RefTabTipo[],2,FALSE),0)</f>
        <v>22</v>
      </c>
      <c r="I57" s="1627">
        <f>IFERROR(VLOOKUP(Financeiros[[#This Row],[Tipo]],RefTabTipo[],3,FALSE),0)</f>
        <v>60</v>
      </c>
      <c r="J57" s="1610">
        <f>IFERROR(VLOOKUP(Financeiros[[#This Row],[Tipo]],RefTabTipo[],4,FALSE),0)</f>
        <v>241</v>
      </c>
      <c r="K57" s="1633">
        <f>IFERROR(VLOOKUP(Financeiros[[#This Row],[Grupo Tarifário]],RefTabGrupoTarifa[],2,FALSE),0)</f>
        <v>1</v>
      </c>
      <c r="L57" s="1609">
        <f>IFERROR(VLOOKUP(Financeiros[[#This Row],[Grupo Tarifário]],RefTabGrupoTarifa[],3,FALSE),0)</f>
        <v>21</v>
      </c>
      <c r="M57" s="1633">
        <f>IFERROR(VLOOKUP(Financeiros[[#This Row],[Grupo Tarifário]],RefTabGrupoTarifa[],4,FALSE),0)</f>
        <v>9</v>
      </c>
    </row>
    <row r="58" spans="3:13" ht="16.5" hidden="1">
      <c r="C58" s="1655" t="s">
        <v>2112</v>
      </c>
      <c r="D58" s="1656">
        <f ca="1">IFERROR(CVE!$D$13*H2,0)</f>
        <v>0</v>
      </c>
      <c r="E58" s="1618">
        <f t="shared" ca="1" si="0"/>
        <v>0</v>
      </c>
      <c r="F58" s="1608" t="s">
        <v>2232</v>
      </c>
      <c r="G58" s="1621" t="s">
        <v>2256</v>
      </c>
      <c r="H58" s="1609">
        <f>IFERROR(VLOOKUP(Financeiros[[#This Row],[Tipo]],RefTabTipo[],2,FALSE),0)</f>
        <v>22</v>
      </c>
      <c r="I58" s="1627">
        <f>IFERROR(VLOOKUP(Financeiros[[#This Row],[Tipo]],RefTabTipo[],3,FALSE),0)</f>
        <v>60</v>
      </c>
      <c r="J58" s="1610">
        <f>IFERROR(VLOOKUP(Financeiros[[#This Row],[Tipo]],RefTabTipo[],4,FALSE),0)</f>
        <v>241</v>
      </c>
      <c r="K58" s="1633">
        <f>IFERROR(VLOOKUP(Financeiros[[#This Row],[Grupo Tarifário]],RefTabGrupoTarifa[],2,FALSE),0)</f>
        <v>2</v>
      </c>
      <c r="L58" s="1609">
        <f>IFERROR(VLOOKUP(Financeiros[[#This Row],[Grupo Tarifário]],RefTabGrupoTarifa[],3,FALSE),0)</f>
        <v>11</v>
      </c>
      <c r="M58" s="1633">
        <f>IFERROR(VLOOKUP(Financeiros[[#This Row],[Grupo Tarifário]],RefTabGrupoTarifa[],4,FALSE),0)</f>
        <v>9</v>
      </c>
    </row>
    <row r="59" spans="3:13" ht="16.5" hidden="1">
      <c r="C59" s="1655" t="s">
        <v>2113</v>
      </c>
      <c r="D59" s="1656">
        <f ca="1">IFERROR(CVE!$D$13*H3,0)</f>
        <v>0</v>
      </c>
      <c r="E59" s="1618">
        <f t="shared" ca="1" si="0"/>
        <v>0</v>
      </c>
      <c r="F59" s="1608" t="s">
        <v>2232</v>
      </c>
      <c r="G59" s="1621" t="s">
        <v>2258</v>
      </c>
      <c r="H59" s="1609">
        <f>IFERROR(VLOOKUP(Financeiros[[#This Row],[Tipo]],RefTabTipo[],2,FALSE),0)</f>
        <v>22</v>
      </c>
      <c r="I59" s="1627">
        <f>IFERROR(VLOOKUP(Financeiros[[#This Row],[Tipo]],RefTabTipo[],3,FALSE),0)</f>
        <v>60</v>
      </c>
      <c r="J59" s="1610">
        <f>IFERROR(VLOOKUP(Financeiros[[#This Row],[Tipo]],RefTabTipo[],4,FALSE),0)</f>
        <v>241</v>
      </c>
      <c r="K59" s="1633">
        <f>IFERROR(VLOOKUP(Financeiros[[#This Row],[Grupo Tarifário]],RefTabGrupoTarifa[],2,FALSE),0)</f>
        <v>2</v>
      </c>
      <c r="L59" s="1609">
        <f>IFERROR(VLOOKUP(Financeiros[[#This Row],[Grupo Tarifário]],RefTabGrupoTarifa[],3,FALSE),0)</f>
        <v>9</v>
      </c>
      <c r="M59" s="1633">
        <f>IFERROR(VLOOKUP(Financeiros[[#This Row],[Grupo Tarifário]],RefTabGrupoTarifa[],4,FALSE),0)</f>
        <v>9</v>
      </c>
    </row>
    <row r="60" spans="3:13" ht="16.5" hidden="1">
      <c r="C60" s="1655" t="s">
        <v>2114</v>
      </c>
      <c r="D60" s="1656">
        <f ca="1">IFERROR(CVE!$D$13*H4,0)</f>
        <v>0</v>
      </c>
      <c r="E60" s="1618">
        <f t="shared" ca="1" si="0"/>
        <v>0</v>
      </c>
      <c r="F60" s="1608" t="s">
        <v>2232</v>
      </c>
      <c r="G60" s="1621" t="s">
        <v>2261</v>
      </c>
      <c r="H60" s="1609">
        <f>IFERROR(VLOOKUP(Financeiros[[#This Row],[Tipo]],RefTabTipo[],2,FALSE),0)</f>
        <v>22</v>
      </c>
      <c r="I60" s="1627">
        <f>IFERROR(VLOOKUP(Financeiros[[#This Row],[Tipo]],RefTabTipo[],3,FALSE),0)</f>
        <v>60</v>
      </c>
      <c r="J60" s="1610">
        <f>IFERROR(VLOOKUP(Financeiros[[#This Row],[Tipo]],RefTabTipo[],4,FALSE),0)</f>
        <v>241</v>
      </c>
      <c r="K60" s="1633">
        <f>IFERROR(VLOOKUP(Financeiros[[#This Row],[Grupo Tarifário]],RefTabGrupoTarifa[],2,FALSE),0)</f>
        <v>2</v>
      </c>
      <c r="L60" s="1609">
        <f>IFERROR(VLOOKUP(Financeiros[[#This Row],[Grupo Tarifário]],RefTabGrupoTarifa[],3,FALSE),0)</f>
        <v>8</v>
      </c>
      <c r="M60" s="1633">
        <f>IFERROR(VLOOKUP(Financeiros[[#This Row],[Grupo Tarifário]],RefTabGrupoTarifa[],4,FALSE),0)</f>
        <v>9</v>
      </c>
    </row>
    <row r="61" spans="3:13" ht="16.5" hidden="1">
      <c r="C61" s="1655" t="s">
        <v>2115</v>
      </c>
      <c r="D61" s="1656">
        <f ca="1">IFERROR(CVE!$D$13*H5,0)</f>
        <v>0</v>
      </c>
      <c r="E61" s="1618">
        <f t="shared" ca="1" si="0"/>
        <v>0</v>
      </c>
      <c r="F61" s="1608" t="s">
        <v>2232</v>
      </c>
      <c r="G61" s="1621" t="s">
        <v>2259</v>
      </c>
      <c r="H61" s="1609">
        <f>IFERROR(VLOOKUP(Financeiros[[#This Row],[Tipo]],RefTabTipo[],2,FALSE),0)</f>
        <v>22</v>
      </c>
      <c r="I61" s="1627">
        <f>IFERROR(VLOOKUP(Financeiros[[#This Row],[Tipo]],RefTabTipo[],3,FALSE),0)</f>
        <v>60</v>
      </c>
      <c r="J61" s="1610">
        <f>IFERROR(VLOOKUP(Financeiros[[#This Row],[Tipo]],RefTabTipo[],4,FALSE),0)</f>
        <v>241</v>
      </c>
      <c r="K61" s="1633">
        <f>IFERROR(VLOOKUP(Financeiros[[#This Row],[Grupo Tarifário]],RefTabGrupoTarifa[],2,FALSE),0)</f>
        <v>2</v>
      </c>
      <c r="L61" s="1609">
        <f>IFERROR(VLOOKUP(Financeiros[[#This Row],[Grupo Tarifário]],RefTabGrupoTarifa[],3,FALSE),0)</f>
        <v>10</v>
      </c>
      <c r="M61" s="1633">
        <f>IFERROR(VLOOKUP(Financeiros[[#This Row],[Grupo Tarifário]],RefTabGrupoTarifa[],4,FALSE),0)</f>
        <v>9</v>
      </c>
    </row>
    <row r="62" spans="3:13" ht="16.5" hidden="1">
      <c r="C62" s="1655" t="s">
        <v>2116</v>
      </c>
      <c r="D62" s="1656">
        <f ca="1">IFERROR(CVE!$D$13*H6,0)</f>
        <v>0</v>
      </c>
      <c r="E62" s="1618">
        <f t="shared" ca="1" si="0"/>
        <v>0</v>
      </c>
      <c r="F62" s="1608" t="s">
        <v>2232</v>
      </c>
      <c r="G62" s="1621" t="s">
        <v>2260</v>
      </c>
      <c r="H62" s="1609">
        <f>IFERROR(VLOOKUP(Financeiros[[#This Row],[Tipo]],RefTabTipo[],2,FALSE),0)</f>
        <v>22</v>
      </c>
      <c r="I62" s="1627">
        <f>IFERROR(VLOOKUP(Financeiros[[#This Row],[Tipo]],RefTabTipo[],3,FALSE),0)</f>
        <v>60</v>
      </c>
      <c r="J62" s="1610">
        <f>IFERROR(VLOOKUP(Financeiros[[#This Row],[Tipo]],RefTabTipo[],4,FALSE),0)</f>
        <v>241</v>
      </c>
      <c r="K62" s="1633">
        <f>IFERROR(VLOOKUP(Financeiros[[#This Row],[Grupo Tarifário]],RefTabGrupoTarifa[],2,FALSE),0)</f>
        <v>2</v>
      </c>
      <c r="L62" s="1609">
        <f>IFERROR(VLOOKUP(Financeiros[[#This Row],[Grupo Tarifário]],RefTabGrupoTarifa[],3,FALSE),0)</f>
        <v>24</v>
      </c>
      <c r="M62" s="1633">
        <f>IFERROR(VLOOKUP(Financeiros[[#This Row],[Grupo Tarifário]],RefTabGrupoTarifa[],4,FALSE),0)</f>
        <v>9</v>
      </c>
    </row>
    <row r="63" spans="3:13" ht="16.5" hidden="1">
      <c r="C63" s="1655" t="s">
        <v>2117</v>
      </c>
      <c r="D63" s="1656">
        <f>IFERROR(CVE!$D$16,0)</f>
        <v>0</v>
      </c>
      <c r="E63" s="1618">
        <f t="shared" ca="1" si="0"/>
        <v>0</v>
      </c>
      <c r="F63" s="1608" t="s">
        <v>2232</v>
      </c>
      <c r="G63" s="1621" t="s">
        <v>2253</v>
      </c>
      <c r="H63" s="1609">
        <f>IFERROR(VLOOKUP(Financeiros[[#This Row],[Tipo]],RefTabTipo[],2,FALSE),0)</f>
        <v>22</v>
      </c>
      <c r="I63" s="1627">
        <f>IFERROR(VLOOKUP(Financeiros[[#This Row],[Tipo]],RefTabTipo[],3,FALSE),0)</f>
        <v>60</v>
      </c>
      <c r="J63" s="1610">
        <f>IFERROR(VLOOKUP(Financeiros[[#This Row],[Tipo]],RefTabTipo[],4,FALSE),0)</f>
        <v>241</v>
      </c>
      <c r="K63" s="1633">
        <f>IFERROR(VLOOKUP(Financeiros[[#This Row],[Grupo Tarifário]],RefTabGrupoTarifa[],2,FALSE),0)</f>
        <v>3</v>
      </c>
      <c r="L63" s="1609">
        <f>IFERROR(VLOOKUP(Financeiros[[#This Row],[Grupo Tarifário]],RefTabGrupoTarifa[],3,FALSE),0)</f>
        <v>18</v>
      </c>
      <c r="M63" s="1633">
        <f>IFERROR(VLOOKUP(Financeiros[[#This Row],[Grupo Tarifário]],RefTabGrupoTarifa[],4,FALSE),0)</f>
        <v>9</v>
      </c>
    </row>
    <row r="64" spans="3:13" ht="16.5" hidden="1">
      <c r="C64" s="1655" t="s">
        <v>2118</v>
      </c>
      <c r="D64" s="1656">
        <f>CVE!D14</f>
        <v>0</v>
      </c>
      <c r="E64" s="1618">
        <f t="shared" ca="1" si="0"/>
        <v>0</v>
      </c>
      <c r="F64" s="1608" t="s">
        <v>2232</v>
      </c>
      <c r="G64" s="1621" t="s">
        <v>2250</v>
      </c>
      <c r="H64" s="1609">
        <f>IFERROR(VLOOKUP(Financeiros[[#This Row],[Tipo]],RefTabTipo[],2,FALSE),0)</f>
        <v>22</v>
      </c>
      <c r="I64" s="1627">
        <f>IFERROR(VLOOKUP(Financeiros[[#This Row],[Tipo]],RefTabTipo[],3,FALSE),0)</f>
        <v>60</v>
      </c>
      <c r="J64" s="1610">
        <f>IFERROR(VLOOKUP(Financeiros[[#This Row],[Tipo]],RefTabTipo[],4,FALSE),0)</f>
        <v>241</v>
      </c>
      <c r="K64" s="1633">
        <f>IFERROR(VLOOKUP(Financeiros[[#This Row],[Grupo Tarifário]],RefTabGrupoTarifa[],2,FALSE),0)</f>
        <v>3</v>
      </c>
      <c r="L64" s="1609">
        <f>IFERROR(VLOOKUP(Financeiros[[#This Row],[Grupo Tarifário]],RefTabGrupoTarifa[],3,FALSE),0)</f>
        <v>16</v>
      </c>
      <c r="M64" s="1633">
        <f>IFERROR(VLOOKUP(Financeiros[[#This Row],[Grupo Tarifário]],RefTabGrupoTarifa[],4,FALSE),0)</f>
        <v>9</v>
      </c>
    </row>
    <row r="65" spans="3:13" ht="16.5" hidden="1">
      <c r="C65" s="1655" t="s">
        <v>2119</v>
      </c>
      <c r="D65" s="1656">
        <f>CVE!D17</f>
        <v>0</v>
      </c>
      <c r="E65" s="1618">
        <f t="shared" ca="1" si="0"/>
        <v>0</v>
      </c>
      <c r="F65" s="1608" t="s">
        <v>2232</v>
      </c>
      <c r="G65" s="1621" t="s">
        <v>2243</v>
      </c>
      <c r="H65" s="1609">
        <f>IFERROR(VLOOKUP(Financeiros[[#This Row],[Tipo]],RefTabTipo[],2,FALSE),0)</f>
        <v>22</v>
      </c>
      <c r="I65" s="1627">
        <f>IFERROR(VLOOKUP(Financeiros[[#This Row],[Tipo]],RefTabTipo[],3,FALSE),0)</f>
        <v>60</v>
      </c>
      <c r="J65" s="1610">
        <f>IFERROR(VLOOKUP(Financeiros[[#This Row],[Tipo]],RefTabTipo[],4,FALSE),0)</f>
        <v>241</v>
      </c>
      <c r="K65" s="1633">
        <f>IFERROR(VLOOKUP(Financeiros[[#This Row],[Grupo Tarifário]],RefTabGrupoTarifa[],2,FALSE),0)</f>
        <v>3</v>
      </c>
      <c r="L65" s="1609">
        <f>IFERROR(VLOOKUP(Financeiros[[#This Row],[Grupo Tarifário]],RefTabGrupoTarifa[],3,FALSE),0)</f>
        <v>17</v>
      </c>
      <c r="M65" s="1633">
        <f>IFERROR(VLOOKUP(Financeiros[[#This Row],[Grupo Tarifário]],RefTabGrupoTarifa[],4,FALSE),0)</f>
        <v>9</v>
      </c>
    </row>
    <row r="66" spans="3:13" ht="16.5" hidden="1">
      <c r="C66" s="1657" t="s">
        <v>2091</v>
      </c>
      <c r="D66" s="1658">
        <f ca="1">IFERROR('Financeiros Mitigação'!$D$5*H2,0)</f>
        <v>0</v>
      </c>
      <c r="E66" s="1618">
        <f t="shared" ca="1" si="0"/>
        <v>0</v>
      </c>
      <c r="F66" s="1605" t="s">
        <v>2234</v>
      </c>
      <c r="G66" s="1622" t="s">
        <v>2256</v>
      </c>
      <c r="H66" s="1606">
        <f>IFERROR(VLOOKUP(Financeiros[[#This Row],[Tipo]],RefTabTipo[],2,FALSE),0)</f>
        <v>22</v>
      </c>
      <c r="I66" s="1628">
        <f>IFERROR(VLOOKUP(Financeiros[[#This Row],[Tipo]],RefTabTipo[],3,FALSE),0)</f>
        <v>60</v>
      </c>
      <c r="J66" s="1607">
        <f>IFERROR(VLOOKUP(Financeiros[[#This Row],[Tipo]],RefTabTipo[],4,FALSE),0)</f>
        <v>240</v>
      </c>
      <c r="K66" s="1634">
        <f>IFERROR(VLOOKUP(Financeiros[[#This Row],[Grupo Tarifário]],RefTabGrupoTarifa[],2,FALSE),0)</f>
        <v>2</v>
      </c>
      <c r="L66" s="1606">
        <f>IFERROR(VLOOKUP(Financeiros[[#This Row],[Grupo Tarifário]],RefTabGrupoTarifa[],3,FALSE),0)</f>
        <v>11</v>
      </c>
      <c r="M66" s="1634">
        <f>IFERROR(VLOOKUP(Financeiros[[#This Row],[Grupo Tarifário]],RefTabGrupoTarifa[],4,FALSE),0)</f>
        <v>9</v>
      </c>
    </row>
    <row r="67" spans="3:13" ht="16.5" hidden="1">
      <c r="C67" s="1657" t="s">
        <v>2092</v>
      </c>
      <c r="D67" s="1658">
        <f ca="1">IFERROR('Financeiros Mitigação'!$D$5*H3,0)</f>
        <v>0</v>
      </c>
      <c r="E67" s="1618">
        <f t="shared" ca="1" si="0"/>
        <v>0</v>
      </c>
      <c r="F67" s="1605" t="s">
        <v>2234</v>
      </c>
      <c r="G67" s="1622" t="s">
        <v>2258</v>
      </c>
      <c r="H67" s="1606">
        <f>IFERROR(VLOOKUP(Financeiros[[#This Row],[Tipo]],RefTabTipo[],2,FALSE),0)</f>
        <v>22</v>
      </c>
      <c r="I67" s="1628">
        <f>IFERROR(VLOOKUP(Financeiros[[#This Row],[Tipo]],RefTabTipo[],3,FALSE),0)</f>
        <v>60</v>
      </c>
      <c r="J67" s="1607">
        <f>IFERROR(VLOOKUP(Financeiros[[#This Row],[Tipo]],RefTabTipo[],4,FALSE),0)</f>
        <v>240</v>
      </c>
      <c r="K67" s="1634">
        <f>IFERROR(VLOOKUP(Financeiros[[#This Row],[Grupo Tarifário]],RefTabGrupoTarifa[],2,FALSE),0)</f>
        <v>2</v>
      </c>
      <c r="L67" s="1606">
        <f>IFERROR(VLOOKUP(Financeiros[[#This Row],[Grupo Tarifário]],RefTabGrupoTarifa[],3,FALSE),0)</f>
        <v>9</v>
      </c>
      <c r="M67" s="1634">
        <f>IFERROR(VLOOKUP(Financeiros[[#This Row],[Grupo Tarifário]],RefTabGrupoTarifa[],4,FALSE),0)</f>
        <v>9</v>
      </c>
    </row>
    <row r="68" spans="3:13" ht="16.5" hidden="1">
      <c r="C68" s="1657" t="s">
        <v>2093</v>
      </c>
      <c r="D68" s="1658">
        <f ca="1">IFERROR('Financeiros Mitigação'!$D$5*H4,0)</f>
        <v>0</v>
      </c>
      <c r="E68" s="1618">
        <f t="shared" ca="1" si="0"/>
        <v>0</v>
      </c>
      <c r="F68" s="1605" t="s">
        <v>2234</v>
      </c>
      <c r="G68" s="1622" t="s">
        <v>2261</v>
      </c>
      <c r="H68" s="1606">
        <f>IFERROR(VLOOKUP(Financeiros[[#This Row],[Tipo]],RefTabTipo[],2,FALSE),0)</f>
        <v>22</v>
      </c>
      <c r="I68" s="1628">
        <f>IFERROR(VLOOKUP(Financeiros[[#This Row],[Tipo]],RefTabTipo[],3,FALSE),0)</f>
        <v>60</v>
      </c>
      <c r="J68" s="1607">
        <f>IFERROR(VLOOKUP(Financeiros[[#This Row],[Tipo]],RefTabTipo[],4,FALSE),0)</f>
        <v>240</v>
      </c>
      <c r="K68" s="1634">
        <f>IFERROR(VLOOKUP(Financeiros[[#This Row],[Grupo Tarifário]],RefTabGrupoTarifa[],2,FALSE),0)</f>
        <v>2</v>
      </c>
      <c r="L68" s="1606">
        <f>IFERROR(VLOOKUP(Financeiros[[#This Row],[Grupo Tarifário]],RefTabGrupoTarifa[],3,FALSE),0)</f>
        <v>8</v>
      </c>
      <c r="M68" s="1634">
        <f>IFERROR(VLOOKUP(Financeiros[[#This Row],[Grupo Tarifário]],RefTabGrupoTarifa[],4,FALSE),0)</f>
        <v>9</v>
      </c>
    </row>
    <row r="69" spans="3:13" ht="16.5" hidden="1">
      <c r="C69" s="1657" t="s">
        <v>2094</v>
      </c>
      <c r="D69" s="1658">
        <f ca="1">IFERROR('Financeiros Mitigação'!$D$5*H5,0)</f>
        <v>0</v>
      </c>
      <c r="E69" s="1618">
        <f t="shared" ca="1" si="0"/>
        <v>0</v>
      </c>
      <c r="F69" s="1605" t="s">
        <v>2234</v>
      </c>
      <c r="G69" s="1622" t="s">
        <v>2259</v>
      </c>
      <c r="H69" s="1606">
        <f>IFERROR(VLOOKUP(Financeiros[[#This Row],[Tipo]],RefTabTipo[],2,FALSE),0)</f>
        <v>22</v>
      </c>
      <c r="I69" s="1628">
        <f>IFERROR(VLOOKUP(Financeiros[[#This Row],[Tipo]],RefTabTipo[],3,FALSE),0)</f>
        <v>60</v>
      </c>
      <c r="J69" s="1607">
        <f>IFERROR(VLOOKUP(Financeiros[[#This Row],[Tipo]],RefTabTipo[],4,FALSE),0)</f>
        <v>240</v>
      </c>
      <c r="K69" s="1634">
        <f>IFERROR(VLOOKUP(Financeiros[[#This Row],[Grupo Tarifário]],RefTabGrupoTarifa[],2,FALSE),0)</f>
        <v>2</v>
      </c>
      <c r="L69" s="1606">
        <f>IFERROR(VLOOKUP(Financeiros[[#This Row],[Grupo Tarifário]],RefTabGrupoTarifa[],3,FALSE),0)</f>
        <v>10</v>
      </c>
      <c r="M69" s="1634">
        <f>IFERROR(VLOOKUP(Financeiros[[#This Row],[Grupo Tarifário]],RefTabGrupoTarifa[],4,FALSE),0)</f>
        <v>9</v>
      </c>
    </row>
    <row r="70" spans="3:13" ht="16.5" hidden="1">
      <c r="C70" s="1657" t="s">
        <v>2095</v>
      </c>
      <c r="D70" s="1658">
        <f ca="1">IFERROR('Financeiros Mitigação'!$D$5*H6,0)</f>
        <v>0</v>
      </c>
      <c r="E70" s="1618">
        <f t="shared" ca="1" si="0"/>
        <v>0</v>
      </c>
      <c r="F70" s="1605" t="s">
        <v>2234</v>
      </c>
      <c r="G70" s="1622" t="s">
        <v>2260</v>
      </c>
      <c r="H70" s="1606">
        <f>IFERROR(VLOOKUP(Financeiros[[#This Row],[Tipo]],RefTabTipo[],2,FALSE),0)</f>
        <v>22</v>
      </c>
      <c r="I70" s="1628">
        <f>IFERROR(VLOOKUP(Financeiros[[#This Row],[Tipo]],RefTabTipo[],3,FALSE),0)</f>
        <v>60</v>
      </c>
      <c r="J70" s="1607">
        <f>IFERROR(VLOOKUP(Financeiros[[#This Row],[Tipo]],RefTabTipo[],4,FALSE),0)</f>
        <v>240</v>
      </c>
      <c r="K70" s="1634">
        <f>IFERROR(VLOOKUP(Financeiros[[#This Row],[Grupo Tarifário]],RefTabGrupoTarifa[],2,FALSE),0)</f>
        <v>2</v>
      </c>
      <c r="L70" s="1606">
        <f>IFERROR(VLOOKUP(Financeiros[[#This Row],[Grupo Tarifário]],RefTabGrupoTarifa[],3,FALSE),0)</f>
        <v>24</v>
      </c>
      <c r="M70" s="1634">
        <f>IFERROR(VLOOKUP(Financeiros[[#This Row],[Grupo Tarifário]],RefTabGrupoTarifa[],4,FALSE),0)</f>
        <v>9</v>
      </c>
    </row>
    <row r="71" spans="3:13" ht="16.5" hidden="1">
      <c r="C71" s="1657" t="s">
        <v>2096</v>
      </c>
      <c r="D71" s="1658">
        <f>IFERROR('Financeiros Mitigação'!D6,0)</f>
        <v>0</v>
      </c>
      <c r="E71" s="1618">
        <f t="shared" ca="1" si="0"/>
        <v>0</v>
      </c>
      <c r="F71" s="1605" t="s">
        <v>2234</v>
      </c>
      <c r="G71" s="1622" t="s">
        <v>2243</v>
      </c>
      <c r="H71" s="1606">
        <f>IFERROR(VLOOKUP(Financeiros[[#This Row],[Tipo]],RefTabTipo[],2,FALSE),0)</f>
        <v>22</v>
      </c>
      <c r="I71" s="1628">
        <f>IFERROR(VLOOKUP(Financeiros[[#This Row],[Tipo]],RefTabTipo[],3,FALSE),0)</f>
        <v>60</v>
      </c>
      <c r="J71" s="1607">
        <f>IFERROR(VLOOKUP(Financeiros[[#This Row],[Tipo]],RefTabTipo[],4,FALSE),0)</f>
        <v>240</v>
      </c>
      <c r="K71" s="1634">
        <f>IFERROR(VLOOKUP(Financeiros[[#This Row],[Grupo Tarifário]],RefTabGrupoTarifa[],2,FALSE),0)</f>
        <v>3</v>
      </c>
      <c r="L71" s="1606">
        <f>IFERROR(VLOOKUP(Financeiros[[#This Row],[Grupo Tarifário]],RefTabGrupoTarifa[],3,FALSE),0)</f>
        <v>17</v>
      </c>
      <c r="M71" s="1634">
        <f>IFERROR(VLOOKUP(Financeiros[[#This Row],[Grupo Tarifário]],RefTabGrupoTarifa[],4,FALSE),0)</f>
        <v>9</v>
      </c>
    </row>
    <row r="72" spans="3:13" ht="16.5" hidden="1">
      <c r="C72" s="1657" t="s">
        <v>2097</v>
      </c>
      <c r="D72" s="1658">
        <f ca="1">IFERROR('Financeiros Mitigação'!$D$7*H2,0)</f>
        <v>0</v>
      </c>
      <c r="E72" s="1618">
        <f t="shared" ca="1" si="0"/>
        <v>0</v>
      </c>
      <c r="F72" s="1605" t="s">
        <v>2234</v>
      </c>
      <c r="G72" s="1622" t="s">
        <v>2256</v>
      </c>
      <c r="H72" s="1606">
        <f>IFERROR(VLOOKUP(Financeiros[[#This Row],[Tipo]],RefTabTipo[],2,FALSE),0)</f>
        <v>22</v>
      </c>
      <c r="I72" s="1628">
        <f>IFERROR(VLOOKUP(Financeiros[[#This Row],[Tipo]],RefTabTipo[],3,FALSE),0)</f>
        <v>60</v>
      </c>
      <c r="J72" s="1607">
        <f>IFERROR(VLOOKUP(Financeiros[[#This Row],[Tipo]],RefTabTipo[],4,FALSE),0)</f>
        <v>240</v>
      </c>
      <c r="K72" s="1634">
        <f>IFERROR(VLOOKUP(Financeiros[[#This Row],[Grupo Tarifário]],RefTabGrupoTarifa[],2,FALSE),0)</f>
        <v>2</v>
      </c>
      <c r="L72" s="1606">
        <f>IFERROR(VLOOKUP(Financeiros[[#This Row],[Grupo Tarifário]],RefTabGrupoTarifa[],3,FALSE),0)</f>
        <v>11</v>
      </c>
      <c r="M72" s="1634">
        <f>IFERROR(VLOOKUP(Financeiros[[#This Row],[Grupo Tarifário]],RefTabGrupoTarifa[],4,FALSE),0)</f>
        <v>9</v>
      </c>
    </row>
    <row r="73" spans="3:13" ht="16.5" hidden="1">
      <c r="C73" s="1657" t="s">
        <v>2098</v>
      </c>
      <c r="D73" s="1658">
        <f ca="1">IFERROR('Financeiros Mitigação'!$D$7*H3,0)</f>
        <v>0</v>
      </c>
      <c r="E73" s="1618">
        <f t="shared" ca="1" si="0"/>
        <v>0</v>
      </c>
      <c r="F73" s="1605" t="s">
        <v>2234</v>
      </c>
      <c r="G73" s="1622" t="s">
        <v>2258</v>
      </c>
      <c r="H73" s="1606">
        <f>IFERROR(VLOOKUP(Financeiros[[#This Row],[Tipo]],RefTabTipo[],2,FALSE),0)</f>
        <v>22</v>
      </c>
      <c r="I73" s="1628">
        <f>IFERROR(VLOOKUP(Financeiros[[#This Row],[Tipo]],RefTabTipo[],3,FALSE),0)</f>
        <v>60</v>
      </c>
      <c r="J73" s="1607">
        <f>IFERROR(VLOOKUP(Financeiros[[#This Row],[Tipo]],RefTabTipo[],4,FALSE),0)</f>
        <v>240</v>
      </c>
      <c r="K73" s="1634">
        <f>IFERROR(VLOOKUP(Financeiros[[#This Row],[Grupo Tarifário]],RefTabGrupoTarifa[],2,FALSE),0)</f>
        <v>2</v>
      </c>
      <c r="L73" s="1606">
        <f>IFERROR(VLOOKUP(Financeiros[[#This Row],[Grupo Tarifário]],RefTabGrupoTarifa[],3,FALSE),0)</f>
        <v>9</v>
      </c>
      <c r="M73" s="1634">
        <f>IFERROR(VLOOKUP(Financeiros[[#This Row],[Grupo Tarifário]],RefTabGrupoTarifa[],4,FALSE),0)</f>
        <v>9</v>
      </c>
    </row>
    <row r="74" spans="3:13" ht="16.5" hidden="1">
      <c r="C74" s="1657" t="s">
        <v>2099</v>
      </c>
      <c r="D74" s="1658">
        <f ca="1">IFERROR('Financeiros Mitigação'!$D$7*H4,0)</f>
        <v>0</v>
      </c>
      <c r="E74" s="1618">
        <f t="shared" ref="E74:E100" ca="1" si="1">IF(ISERROR(D74/$D$4),0,D74/$D$4)</f>
        <v>0</v>
      </c>
      <c r="F74" s="1605" t="s">
        <v>2234</v>
      </c>
      <c r="G74" s="1622" t="s">
        <v>2261</v>
      </c>
      <c r="H74" s="1606">
        <f>IFERROR(VLOOKUP(Financeiros[[#This Row],[Tipo]],RefTabTipo[],2,FALSE),0)</f>
        <v>22</v>
      </c>
      <c r="I74" s="1628">
        <f>IFERROR(VLOOKUP(Financeiros[[#This Row],[Tipo]],RefTabTipo[],3,FALSE),0)</f>
        <v>60</v>
      </c>
      <c r="J74" s="1607">
        <f>IFERROR(VLOOKUP(Financeiros[[#This Row],[Tipo]],RefTabTipo[],4,FALSE),0)</f>
        <v>240</v>
      </c>
      <c r="K74" s="1634">
        <f>IFERROR(VLOOKUP(Financeiros[[#This Row],[Grupo Tarifário]],RefTabGrupoTarifa[],2,FALSE),0)</f>
        <v>2</v>
      </c>
      <c r="L74" s="1606">
        <f>IFERROR(VLOOKUP(Financeiros[[#This Row],[Grupo Tarifário]],RefTabGrupoTarifa[],3,FALSE),0)</f>
        <v>8</v>
      </c>
      <c r="M74" s="1634">
        <f>IFERROR(VLOOKUP(Financeiros[[#This Row],[Grupo Tarifário]],RefTabGrupoTarifa[],4,FALSE),0)</f>
        <v>9</v>
      </c>
    </row>
    <row r="75" spans="3:13" ht="16.5" hidden="1">
      <c r="C75" s="1657" t="s">
        <v>2100</v>
      </c>
      <c r="D75" s="1658">
        <f ca="1">IFERROR('Financeiros Mitigação'!$D$7*H5,0)</f>
        <v>0</v>
      </c>
      <c r="E75" s="1618">
        <f t="shared" ca="1" si="1"/>
        <v>0</v>
      </c>
      <c r="F75" s="1605" t="s">
        <v>2234</v>
      </c>
      <c r="G75" s="1622" t="s">
        <v>2259</v>
      </c>
      <c r="H75" s="1606">
        <f>IFERROR(VLOOKUP(Financeiros[[#This Row],[Tipo]],RefTabTipo[],2,FALSE),0)</f>
        <v>22</v>
      </c>
      <c r="I75" s="1628">
        <f>IFERROR(VLOOKUP(Financeiros[[#This Row],[Tipo]],RefTabTipo[],3,FALSE),0)</f>
        <v>60</v>
      </c>
      <c r="J75" s="1607">
        <f>IFERROR(VLOOKUP(Financeiros[[#This Row],[Tipo]],RefTabTipo[],4,FALSE),0)</f>
        <v>240</v>
      </c>
      <c r="K75" s="1634">
        <f>IFERROR(VLOOKUP(Financeiros[[#This Row],[Grupo Tarifário]],RefTabGrupoTarifa[],2,FALSE),0)</f>
        <v>2</v>
      </c>
      <c r="L75" s="1606">
        <f>IFERROR(VLOOKUP(Financeiros[[#This Row],[Grupo Tarifário]],RefTabGrupoTarifa[],3,FALSE),0)</f>
        <v>10</v>
      </c>
      <c r="M75" s="1634">
        <f>IFERROR(VLOOKUP(Financeiros[[#This Row],[Grupo Tarifário]],RefTabGrupoTarifa[],4,FALSE),0)</f>
        <v>9</v>
      </c>
    </row>
    <row r="76" spans="3:13" ht="16.5" hidden="1">
      <c r="C76" s="1657" t="s">
        <v>2101</v>
      </c>
      <c r="D76" s="1658">
        <f ca="1">IFERROR('Financeiros Mitigação'!$D$7*H6,0)</f>
        <v>0</v>
      </c>
      <c r="E76" s="1618">
        <f t="shared" ca="1" si="1"/>
        <v>0</v>
      </c>
      <c r="F76" s="1622" t="s">
        <v>2234</v>
      </c>
      <c r="G76" s="1622" t="s">
        <v>2260</v>
      </c>
      <c r="H76" s="1634">
        <f>IFERROR(VLOOKUP(Financeiros[[#This Row],[Tipo]],RefTabTipo[],2,FALSE),0)</f>
        <v>22</v>
      </c>
      <c r="I76" s="1628">
        <f>IFERROR(VLOOKUP(Financeiros[[#This Row],[Tipo]],RefTabTipo[],3,FALSE),0)</f>
        <v>60</v>
      </c>
      <c r="J76" s="1628">
        <f>IFERROR(VLOOKUP(Financeiros[[#This Row],[Tipo]],RefTabTipo[],4,FALSE),0)</f>
        <v>240</v>
      </c>
      <c r="K76" s="1634">
        <f>IFERROR(VLOOKUP(Financeiros[[#This Row],[Grupo Tarifário]],RefTabGrupoTarifa[],2,FALSE),0)</f>
        <v>2</v>
      </c>
      <c r="L76" s="1634">
        <f>IFERROR(VLOOKUP(Financeiros[[#This Row],[Grupo Tarifário]],RefTabGrupoTarifa[],3,FALSE),0)</f>
        <v>24</v>
      </c>
      <c r="M76" s="1634">
        <f>IFERROR(VLOOKUP(Financeiros[[#This Row],[Grupo Tarifário]],RefTabGrupoTarifa[],4,FALSE),0)</f>
        <v>9</v>
      </c>
    </row>
    <row r="77" spans="3:13" ht="16.5" hidden="1">
      <c r="C77" s="1659" t="s">
        <v>2311</v>
      </c>
      <c r="D77" s="1659">
        <f ca="1">IFERROR(CVE!$I$9*H2,0)</f>
        <v>0</v>
      </c>
      <c r="E77" s="1618">
        <f t="shared" ca="1" si="1"/>
        <v>0</v>
      </c>
      <c r="F77" s="1623" t="s">
        <v>2239</v>
      </c>
      <c r="G77" s="1623" t="s">
        <v>2256</v>
      </c>
      <c r="H77" s="1635">
        <f>IFERROR(VLOOKUP(Financeiros[[#This Row],[Tipo]],RefTabTipo[],2,FALSE),0)</f>
        <v>22</v>
      </c>
      <c r="I77" s="1629">
        <f>IFERROR(VLOOKUP(Financeiros[[#This Row],[Tipo]],RefTabTipo[],3,FALSE),0)</f>
        <v>60</v>
      </c>
      <c r="J77" s="1629">
        <f>IFERROR(VLOOKUP(Financeiros[[#This Row],[Tipo]],RefTabTipo[],4,FALSE),0)</f>
        <v>106</v>
      </c>
      <c r="K77" s="1635">
        <f>IFERROR(VLOOKUP(Financeiros[[#This Row],[Grupo Tarifário]],RefTabGrupoTarifa[],2,FALSE),0)</f>
        <v>2</v>
      </c>
      <c r="L77" s="1635">
        <f>IFERROR(VLOOKUP(Financeiros[[#This Row],[Grupo Tarifário]],RefTabGrupoTarifa[],3,FALSE),0)</f>
        <v>11</v>
      </c>
      <c r="M77" s="1635">
        <f>IFERROR(VLOOKUP(Financeiros[[#This Row],[Grupo Tarifário]],RefTabGrupoTarifa[],4,FALSE),0)</f>
        <v>9</v>
      </c>
    </row>
    <row r="78" spans="3:13" ht="16.5" hidden="1">
      <c r="C78" s="1659" t="s">
        <v>2312</v>
      </c>
      <c r="D78" s="1659">
        <f ca="1">IFERROR(CVE!$I$9*H3,0)</f>
        <v>0</v>
      </c>
      <c r="E78" s="1618">
        <f t="shared" ca="1" si="1"/>
        <v>0</v>
      </c>
      <c r="F78" s="1623" t="s">
        <v>2239</v>
      </c>
      <c r="G78" s="1623" t="s">
        <v>2258</v>
      </c>
      <c r="H78" s="1635">
        <f>IFERROR(VLOOKUP(Financeiros[[#This Row],[Tipo]],RefTabTipo[],2,FALSE),0)</f>
        <v>22</v>
      </c>
      <c r="I78" s="1629">
        <f>IFERROR(VLOOKUP(Financeiros[[#This Row],[Tipo]],RefTabTipo[],3,FALSE),0)</f>
        <v>60</v>
      </c>
      <c r="J78" s="1629">
        <f>IFERROR(VLOOKUP(Financeiros[[#This Row],[Tipo]],RefTabTipo[],4,FALSE),0)</f>
        <v>106</v>
      </c>
      <c r="K78" s="1635">
        <f>IFERROR(VLOOKUP(Financeiros[[#This Row],[Grupo Tarifário]],RefTabGrupoTarifa[],2,FALSE),0)</f>
        <v>2</v>
      </c>
      <c r="L78" s="1635">
        <f>IFERROR(VLOOKUP(Financeiros[[#This Row],[Grupo Tarifário]],RefTabGrupoTarifa[],3,FALSE),0)</f>
        <v>9</v>
      </c>
      <c r="M78" s="1635">
        <f>IFERROR(VLOOKUP(Financeiros[[#This Row],[Grupo Tarifário]],RefTabGrupoTarifa[],4,FALSE),0)</f>
        <v>9</v>
      </c>
    </row>
    <row r="79" spans="3:13" ht="16.5" hidden="1">
      <c r="C79" s="1659" t="s">
        <v>2313</v>
      </c>
      <c r="D79" s="1659">
        <f ca="1">IFERROR(CVE!$I$9*H4,0)</f>
        <v>0</v>
      </c>
      <c r="E79" s="1618">
        <f t="shared" ca="1" si="1"/>
        <v>0</v>
      </c>
      <c r="F79" s="1623" t="s">
        <v>2239</v>
      </c>
      <c r="G79" s="1623" t="s">
        <v>2261</v>
      </c>
      <c r="H79" s="1635">
        <f>IFERROR(VLOOKUP(Financeiros[[#This Row],[Tipo]],RefTabTipo[],2,FALSE),0)</f>
        <v>22</v>
      </c>
      <c r="I79" s="1629">
        <f>IFERROR(VLOOKUP(Financeiros[[#This Row],[Tipo]],RefTabTipo[],3,FALSE),0)</f>
        <v>60</v>
      </c>
      <c r="J79" s="1629">
        <f>IFERROR(VLOOKUP(Financeiros[[#This Row],[Tipo]],RefTabTipo[],4,FALSE),0)</f>
        <v>106</v>
      </c>
      <c r="K79" s="1635">
        <f>IFERROR(VLOOKUP(Financeiros[[#This Row],[Grupo Tarifário]],RefTabGrupoTarifa[],2,FALSE),0)</f>
        <v>2</v>
      </c>
      <c r="L79" s="1635">
        <f>IFERROR(VLOOKUP(Financeiros[[#This Row],[Grupo Tarifário]],RefTabGrupoTarifa[],3,FALSE),0)</f>
        <v>8</v>
      </c>
      <c r="M79" s="1635">
        <f>IFERROR(VLOOKUP(Financeiros[[#This Row],[Grupo Tarifário]],RefTabGrupoTarifa[],4,FALSE),0)</f>
        <v>9</v>
      </c>
    </row>
    <row r="80" spans="3:13" ht="16.5" hidden="1">
      <c r="C80" s="1659" t="s">
        <v>2314</v>
      </c>
      <c r="D80" s="1659">
        <f ca="1">IFERROR(CVE!$I$9*H5,0)</f>
        <v>0</v>
      </c>
      <c r="E80" s="1618">
        <f t="shared" ca="1" si="1"/>
        <v>0</v>
      </c>
      <c r="F80" s="1623" t="s">
        <v>2239</v>
      </c>
      <c r="G80" s="1623" t="s">
        <v>2259</v>
      </c>
      <c r="H80" s="1635">
        <f>IFERROR(VLOOKUP(Financeiros[[#This Row],[Tipo]],RefTabTipo[],2,FALSE),0)</f>
        <v>22</v>
      </c>
      <c r="I80" s="1629">
        <f>IFERROR(VLOOKUP(Financeiros[[#This Row],[Tipo]],RefTabTipo[],3,FALSE),0)</f>
        <v>60</v>
      </c>
      <c r="J80" s="1629">
        <f>IFERROR(VLOOKUP(Financeiros[[#This Row],[Tipo]],RefTabTipo[],4,FALSE),0)</f>
        <v>106</v>
      </c>
      <c r="K80" s="1635">
        <f>IFERROR(VLOOKUP(Financeiros[[#This Row],[Grupo Tarifário]],RefTabGrupoTarifa[],2,FALSE),0)</f>
        <v>2</v>
      </c>
      <c r="L80" s="1635">
        <f>IFERROR(VLOOKUP(Financeiros[[#This Row],[Grupo Tarifário]],RefTabGrupoTarifa[],3,FALSE),0)</f>
        <v>10</v>
      </c>
      <c r="M80" s="1635">
        <f>IFERROR(VLOOKUP(Financeiros[[#This Row],[Grupo Tarifário]],RefTabGrupoTarifa[],4,FALSE),0)</f>
        <v>9</v>
      </c>
    </row>
    <row r="81" spans="3:13" ht="16.5" hidden="1">
      <c r="C81" s="1659" t="s">
        <v>2315</v>
      </c>
      <c r="D81" s="1659">
        <f ca="1">IFERROR(CVE!$I$9*H6,0)</f>
        <v>0</v>
      </c>
      <c r="E81" s="1618">
        <f t="shared" ca="1" si="1"/>
        <v>0</v>
      </c>
      <c r="F81" s="1623" t="s">
        <v>2239</v>
      </c>
      <c r="G81" s="1623" t="s">
        <v>2260</v>
      </c>
      <c r="H81" s="1635">
        <f>IFERROR(VLOOKUP(Financeiros[[#This Row],[Tipo]],RefTabTipo[],2,FALSE),0)</f>
        <v>22</v>
      </c>
      <c r="I81" s="1629">
        <f>IFERROR(VLOOKUP(Financeiros[[#This Row],[Tipo]],RefTabTipo[],3,FALSE),0)</f>
        <v>60</v>
      </c>
      <c r="J81" s="1629">
        <f>IFERROR(VLOOKUP(Financeiros[[#This Row],[Tipo]],RefTabTipo[],4,FALSE),0)</f>
        <v>106</v>
      </c>
      <c r="K81" s="1635">
        <f>IFERROR(VLOOKUP(Financeiros[[#This Row],[Grupo Tarifário]],RefTabGrupoTarifa[],2,FALSE),0)</f>
        <v>2</v>
      </c>
      <c r="L81" s="1635">
        <f>IFERROR(VLOOKUP(Financeiros[[#This Row],[Grupo Tarifário]],RefTabGrupoTarifa[],3,FALSE),0)</f>
        <v>24</v>
      </c>
      <c r="M81" s="1635">
        <f>IFERROR(VLOOKUP(Financeiros[[#This Row],[Grupo Tarifário]],RefTabGrupoTarifa[],4,FALSE),0)</f>
        <v>9</v>
      </c>
    </row>
    <row r="82" spans="3:13" ht="16.5" hidden="1">
      <c r="C82" s="1660" t="s">
        <v>2292</v>
      </c>
      <c r="D82" s="1669">
        <f ca="1">IFERROR(CVE!$I$15*H2,0)</f>
        <v>0</v>
      </c>
      <c r="E82" s="1618">
        <f t="shared" ca="1" si="1"/>
        <v>0</v>
      </c>
      <c r="F82" s="1624" t="s">
        <v>1305</v>
      </c>
      <c r="G82" s="1624" t="s">
        <v>2256</v>
      </c>
      <c r="H82" s="1636">
        <f>IFERROR(VLOOKUP(Financeiros[[#This Row],[Tipo]],RefTabTipo[],2,FALSE),0)</f>
        <v>22</v>
      </c>
      <c r="I82" s="1630">
        <f>IFERROR(VLOOKUP(Financeiros[[#This Row],[Tipo]],RefTabTipo[],3,FALSE),0)</f>
        <v>62</v>
      </c>
      <c r="J82" s="1630">
        <f>IFERROR(VLOOKUP(Financeiros[[#This Row],[Tipo]],RefTabTipo[],4,FALSE),0)</f>
        <v>220</v>
      </c>
      <c r="K82" s="1636">
        <f>IFERROR(VLOOKUP(Financeiros[[#This Row],[Grupo Tarifário]],RefTabGrupoTarifa[],2,FALSE),0)</f>
        <v>2</v>
      </c>
      <c r="L82" s="1636">
        <f>IFERROR(VLOOKUP(Financeiros[[#This Row],[Grupo Tarifário]],RefTabGrupoTarifa[],3,FALSE),0)</f>
        <v>11</v>
      </c>
      <c r="M82" s="1636">
        <f>IFERROR(VLOOKUP(Financeiros[[#This Row],[Grupo Tarifário]],RefTabGrupoTarifa[],4,FALSE),0)</f>
        <v>9</v>
      </c>
    </row>
    <row r="83" spans="3:13" ht="16.5" hidden="1">
      <c r="C83" s="1660" t="s">
        <v>2293</v>
      </c>
      <c r="D83" s="1669">
        <f ca="1">IFERROR(CVE!$I$15*H3,0)</f>
        <v>0</v>
      </c>
      <c r="E83" s="1618">
        <f t="shared" ca="1" si="1"/>
        <v>0</v>
      </c>
      <c r="F83" s="1624" t="s">
        <v>1305</v>
      </c>
      <c r="G83" s="1624" t="s">
        <v>2258</v>
      </c>
      <c r="H83" s="1637">
        <f>IFERROR(VLOOKUP(Financeiros[[#This Row],[Tipo]],RefTabTipo[],2,FALSE),0)</f>
        <v>22</v>
      </c>
      <c r="I83" s="1631">
        <f>IFERROR(VLOOKUP(Financeiros[[#This Row],[Tipo]],RefTabTipo[],3,FALSE),0)</f>
        <v>62</v>
      </c>
      <c r="J83" s="1631">
        <f>IFERROR(VLOOKUP(Financeiros[[#This Row],[Tipo]],RefTabTipo[],4,FALSE),0)</f>
        <v>220</v>
      </c>
      <c r="K83" s="1637">
        <f>IFERROR(VLOOKUP(Financeiros[[#This Row],[Grupo Tarifário]],RefTabGrupoTarifa[],2,FALSE),0)</f>
        <v>2</v>
      </c>
      <c r="L83" s="1637">
        <f>IFERROR(VLOOKUP(Financeiros[[#This Row],[Grupo Tarifário]],RefTabGrupoTarifa[],3,FALSE),0)</f>
        <v>9</v>
      </c>
      <c r="M83" s="1637">
        <f>IFERROR(VLOOKUP(Financeiros[[#This Row],[Grupo Tarifário]],RefTabGrupoTarifa[],4,FALSE),0)</f>
        <v>9</v>
      </c>
    </row>
    <row r="84" spans="3:13" ht="16.5" hidden="1">
      <c r="C84" s="1660" t="s">
        <v>2294</v>
      </c>
      <c r="D84" s="1669">
        <f ca="1">IFERROR(CVE!$I$15*H4,0)</f>
        <v>0</v>
      </c>
      <c r="E84" s="1618">
        <f t="shared" ca="1" si="1"/>
        <v>0</v>
      </c>
      <c r="F84" s="1624" t="s">
        <v>1305</v>
      </c>
      <c r="G84" s="1624" t="s">
        <v>2261</v>
      </c>
      <c r="H84" s="1637">
        <f>IFERROR(VLOOKUP(Financeiros[[#This Row],[Tipo]],RefTabTipo[],2,FALSE),0)</f>
        <v>22</v>
      </c>
      <c r="I84" s="1631">
        <f>IFERROR(VLOOKUP(Financeiros[[#This Row],[Tipo]],RefTabTipo[],3,FALSE),0)</f>
        <v>62</v>
      </c>
      <c r="J84" s="1631">
        <f>IFERROR(VLOOKUP(Financeiros[[#This Row],[Tipo]],RefTabTipo[],4,FALSE),0)</f>
        <v>220</v>
      </c>
      <c r="K84" s="1637">
        <f>IFERROR(VLOOKUP(Financeiros[[#This Row],[Grupo Tarifário]],RefTabGrupoTarifa[],2,FALSE),0)</f>
        <v>2</v>
      </c>
      <c r="L84" s="1637">
        <f>IFERROR(VLOOKUP(Financeiros[[#This Row],[Grupo Tarifário]],RefTabGrupoTarifa[],3,FALSE),0)</f>
        <v>8</v>
      </c>
      <c r="M84" s="1637">
        <f>IFERROR(VLOOKUP(Financeiros[[#This Row],[Grupo Tarifário]],RefTabGrupoTarifa[],4,FALSE),0)</f>
        <v>9</v>
      </c>
    </row>
    <row r="85" spans="3:13" ht="16.5" hidden="1">
      <c r="C85" s="1660" t="s">
        <v>2295</v>
      </c>
      <c r="D85" s="1669">
        <f ca="1">IFERROR(CVE!$I$15*H5,0)</f>
        <v>0</v>
      </c>
      <c r="E85" s="1618">
        <f t="shared" ca="1" si="1"/>
        <v>0</v>
      </c>
      <c r="F85" s="1624" t="s">
        <v>1305</v>
      </c>
      <c r="G85" s="1624" t="s">
        <v>2259</v>
      </c>
      <c r="H85" s="1637">
        <f>IFERROR(VLOOKUP(Financeiros[[#This Row],[Tipo]],RefTabTipo[],2,FALSE),0)</f>
        <v>22</v>
      </c>
      <c r="I85" s="1631">
        <f>IFERROR(VLOOKUP(Financeiros[[#This Row],[Tipo]],RefTabTipo[],3,FALSE),0)</f>
        <v>62</v>
      </c>
      <c r="J85" s="1631">
        <f>IFERROR(VLOOKUP(Financeiros[[#This Row],[Tipo]],RefTabTipo[],4,FALSE),0)</f>
        <v>220</v>
      </c>
      <c r="K85" s="1637">
        <f>IFERROR(VLOOKUP(Financeiros[[#This Row],[Grupo Tarifário]],RefTabGrupoTarifa[],2,FALSE),0)</f>
        <v>2</v>
      </c>
      <c r="L85" s="1637">
        <f>IFERROR(VLOOKUP(Financeiros[[#This Row],[Grupo Tarifário]],RefTabGrupoTarifa[],3,FALSE),0)</f>
        <v>10</v>
      </c>
      <c r="M85" s="1637">
        <f>IFERROR(VLOOKUP(Financeiros[[#This Row],[Grupo Tarifário]],RefTabGrupoTarifa[],4,FALSE),0)</f>
        <v>9</v>
      </c>
    </row>
    <row r="86" spans="3:13" ht="16.5" hidden="1">
      <c r="C86" s="1660" t="s">
        <v>2296</v>
      </c>
      <c r="D86" s="1669">
        <f ca="1">IFERROR(CVE!$I$15*H6,0)</f>
        <v>0</v>
      </c>
      <c r="E86" s="1618">
        <f t="shared" ca="1" si="1"/>
        <v>0</v>
      </c>
      <c r="F86" s="1624" t="s">
        <v>1305</v>
      </c>
      <c r="G86" s="1624" t="s">
        <v>2260</v>
      </c>
      <c r="H86" s="1637">
        <f>IFERROR(VLOOKUP(Financeiros[[#This Row],[Tipo]],RefTabTipo[],2,FALSE),0)</f>
        <v>22</v>
      </c>
      <c r="I86" s="1631">
        <f>IFERROR(VLOOKUP(Financeiros[[#This Row],[Tipo]],RefTabTipo[],3,FALSE),0)</f>
        <v>62</v>
      </c>
      <c r="J86" s="1631">
        <f>IFERROR(VLOOKUP(Financeiros[[#This Row],[Tipo]],RefTabTipo[],4,FALSE),0)</f>
        <v>220</v>
      </c>
      <c r="K86" s="1637">
        <f>IFERROR(VLOOKUP(Financeiros[[#This Row],[Grupo Tarifário]],RefTabGrupoTarifa[],2,FALSE),0)</f>
        <v>2</v>
      </c>
      <c r="L86" s="1637">
        <f>IFERROR(VLOOKUP(Financeiros[[#This Row],[Grupo Tarifário]],RefTabGrupoTarifa[],3,FALSE),0)</f>
        <v>24</v>
      </c>
      <c r="M86" s="1637">
        <f>IFERROR(VLOOKUP(Financeiros[[#This Row],[Grupo Tarifário]],RefTabGrupoTarifa[],4,FALSE),0)</f>
        <v>9</v>
      </c>
    </row>
    <row r="87" spans="3:13" ht="16.5">
      <c r="C87" s="1670" t="s">
        <v>2297</v>
      </c>
      <c r="D87" s="1786">
        <f ca="1">IFERROR(Energia!$K$66*H2,0)</f>
        <v>150933.82607745717</v>
      </c>
      <c r="E87" s="1618">
        <f t="shared" ca="1" si="1"/>
        <v>1.2976067845004926E-2</v>
      </c>
      <c r="F87" s="1624" t="s">
        <v>2277</v>
      </c>
      <c r="G87" s="1624" t="s">
        <v>2256</v>
      </c>
      <c r="H87" s="1637">
        <f>IFERROR(VLOOKUP(Financeiros[[#This Row],[Tipo]],RefTabTipo[],2,FALSE),0)</f>
        <v>22</v>
      </c>
      <c r="I87" s="1631">
        <f>IFERROR(VLOOKUP(Financeiros[[#This Row],[Tipo]],RefTabTipo[],3,FALSE),0)</f>
        <v>60</v>
      </c>
      <c r="J87" s="1631">
        <f>IFERROR(VLOOKUP(Financeiros[[#This Row],[Tipo]],RefTabTipo[],4,FALSE),0)</f>
        <v>220</v>
      </c>
      <c r="K87" s="1637">
        <f>IFERROR(VLOOKUP(Financeiros[[#This Row],[Grupo Tarifário]],RefTabGrupoTarifa[],2,FALSE),0)</f>
        <v>2</v>
      </c>
      <c r="L87" s="1637">
        <f>IFERROR(VLOOKUP(Financeiros[[#This Row],[Grupo Tarifário]],RefTabGrupoTarifa[],3,FALSE),0)</f>
        <v>11</v>
      </c>
      <c r="M87" s="1637">
        <f>IFERROR(VLOOKUP(Financeiros[[#This Row],[Grupo Tarifário]],RefTabGrupoTarifa[],4,FALSE),0)</f>
        <v>9</v>
      </c>
    </row>
    <row r="88" spans="3:13" ht="16.5" hidden="1">
      <c r="C88" s="1670" t="s">
        <v>2298</v>
      </c>
      <c r="D88" s="1671">
        <f ca="1">IFERROR(Energia!$K$66*H3,0)</f>
        <v>0</v>
      </c>
      <c r="E88" s="1618">
        <f t="shared" ca="1" si="1"/>
        <v>0</v>
      </c>
      <c r="F88" s="1624" t="s">
        <v>2277</v>
      </c>
      <c r="G88" s="1624" t="s">
        <v>2258</v>
      </c>
      <c r="H88" s="1637">
        <f>IFERROR(VLOOKUP(Financeiros[[#This Row],[Tipo]],RefTabTipo[],2,FALSE),0)</f>
        <v>22</v>
      </c>
      <c r="I88" s="1631">
        <f>IFERROR(VLOOKUP(Financeiros[[#This Row],[Tipo]],RefTabTipo[],3,FALSE),0)</f>
        <v>60</v>
      </c>
      <c r="J88" s="1631">
        <f>IFERROR(VLOOKUP(Financeiros[[#This Row],[Tipo]],RefTabTipo[],4,FALSE),0)</f>
        <v>220</v>
      </c>
      <c r="K88" s="1637">
        <f>IFERROR(VLOOKUP(Financeiros[[#This Row],[Grupo Tarifário]],RefTabGrupoTarifa[],2,FALSE),0)</f>
        <v>2</v>
      </c>
      <c r="L88" s="1637">
        <f>IFERROR(VLOOKUP(Financeiros[[#This Row],[Grupo Tarifário]],RefTabGrupoTarifa[],3,FALSE),0)</f>
        <v>9</v>
      </c>
      <c r="M88" s="1637">
        <f>IFERROR(VLOOKUP(Financeiros[[#This Row],[Grupo Tarifário]],RefTabGrupoTarifa[],4,FALSE),0)</f>
        <v>9</v>
      </c>
    </row>
    <row r="89" spans="3:13" ht="16.5">
      <c r="C89" s="1670" t="s">
        <v>2299</v>
      </c>
      <c r="D89" s="1786">
        <f ca="1">IFERROR(Energia!$K$66*H4,0)</f>
        <v>8163.576073228327</v>
      </c>
      <c r="E89" s="1618">
        <f t="shared" ca="1" si="1"/>
        <v>7.0183814812795693E-4</v>
      </c>
      <c r="F89" s="1624" t="s">
        <v>2277</v>
      </c>
      <c r="G89" s="1624" t="s">
        <v>2261</v>
      </c>
      <c r="H89" s="1637">
        <f>IFERROR(VLOOKUP(Financeiros[[#This Row],[Tipo]],RefTabTipo[],2,FALSE),0)</f>
        <v>22</v>
      </c>
      <c r="I89" s="1631">
        <f>IFERROR(VLOOKUP(Financeiros[[#This Row],[Tipo]],RefTabTipo[],3,FALSE),0)</f>
        <v>60</v>
      </c>
      <c r="J89" s="1631">
        <f>IFERROR(VLOOKUP(Financeiros[[#This Row],[Tipo]],RefTabTipo[],4,FALSE),0)</f>
        <v>220</v>
      </c>
      <c r="K89" s="1637">
        <f>IFERROR(VLOOKUP(Financeiros[[#This Row],[Grupo Tarifário]],RefTabGrupoTarifa[],2,FALSE),0)</f>
        <v>2</v>
      </c>
      <c r="L89" s="1637">
        <f>IFERROR(VLOOKUP(Financeiros[[#This Row],[Grupo Tarifário]],RefTabGrupoTarifa[],3,FALSE),0)</f>
        <v>8</v>
      </c>
      <c r="M89" s="1637">
        <f>IFERROR(VLOOKUP(Financeiros[[#This Row],[Grupo Tarifário]],RefTabGrupoTarifa[],4,FALSE),0)</f>
        <v>9</v>
      </c>
    </row>
    <row r="90" spans="3:13" ht="16.5" hidden="1">
      <c r="C90" s="1670" t="s">
        <v>2300</v>
      </c>
      <c r="D90" s="1671">
        <f ca="1">IFERROR(Energia!$K$66*H5,0)</f>
        <v>0</v>
      </c>
      <c r="E90" s="1618">
        <f t="shared" ca="1" si="1"/>
        <v>0</v>
      </c>
      <c r="F90" s="1624" t="s">
        <v>2277</v>
      </c>
      <c r="G90" s="1624" t="s">
        <v>2259</v>
      </c>
      <c r="H90" s="1637">
        <f>IFERROR(VLOOKUP(Financeiros[[#This Row],[Tipo]],RefTabTipo[],2,FALSE),0)</f>
        <v>22</v>
      </c>
      <c r="I90" s="1631">
        <f>IFERROR(VLOOKUP(Financeiros[[#This Row],[Tipo]],RefTabTipo[],3,FALSE),0)</f>
        <v>60</v>
      </c>
      <c r="J90" s="1631">
        <f>IFERROR(VLOOKUP(Financeiros[[#This Row],[Tipo]],RefTabTipo[],4,FALSE),0)</f>
        <v>220</v>
      </c>
      <c r="K90" s="1637">
        <f>IFERROR(VLOOKUP(Financeiros[[#This Row],[Grupo Tarifário]],RefTabGrupoTarifa[],2,FALSE),0)</f>
        <v>2</v>
      </c>
      <c r="L90" s="1637">
        <f>IFERROR(VLOOKUP(Financeiros[[#This Row],[Grupo Tarifário]],RefTabGrupoTarifa[],3,FALSE),0)</f>
        <v>10</v>
      </c>
      <c r="M90" s="1637">
        <f>IFERROR(VLOOKUP(Financeiros[[#This Row],[Grupo Tarifário]],RefTabGrupoTarifa[],4,FALSE),0)</f>
        <v>9</v>
      </c>
    </row>
    <row r="91" spans="3:13" ht="16.5" hidden="1">
      <c r="C91" s="1670" t="s">
        <v>2301</v>
      </c>
      <c r="D91" s="1671">
        <f ca="1">IFERROR(Energia!$K$66*H6,0)</f>
        <v>0</v>
      </c>
      <c r="E91" s="1618">
        <f t="shared" ca="1" si="1"/>
        <v>0</v>
      </c>
      <c r="F91" s="1624" t="s">
        <v>2277</v>
      </c>
      <c r="G91" s="1624" t="s">
        <v>2260</v>
      </c>
      <c r="H91" s="1637">
        <f>IFERROR(VLOOKUP(Financeiros[[#This Row],[Tipo]],RefTabTipo[],2,FALSE),0)</f>
        <v>22</v>
      </c>
      <c r="I91" s="1631">
        <f>IFERROR(VLOOKUP(Financeiros[[#This Row],[Tipo]],RefTabTipo[],3,FALSE),0)</f>
        <v>60</v>
      </c>
      <c r="J91" s="1631">
        <f>IFERROR(VLOOKUP(Financeiros[[#This Row],[Tipo]],RefTabTipo[],4,FALSE),0)</f>
        <v>220</v>
      </c>
      <c r="K91" s="1637">
        <f>IFERROR(VLOOKUP(Financeiros[[#This Row],[Grupo Tarifário]],RefTabGrupoTarifa[],2,FALSE),0)</f>
        <v>2</v>
      </c>
      <c r="L91" s="1637">
        <f>IFERROR(VLOOKUP(Financeiros[[#This Row],[Grupo Tarifário]],RefTabGrupoTarifa[],3,FALSE),0)</f>
        <v>24</v>
      </c>
      <c r="M91" s="1637">
        <f>IFERROR(VLOOKUP(Financeiros[[#This Row],[Grupo Tarifário]],RefTabGrupoTarifa[],4,FALSE),0)</f>
        <v>9</v>
      </c>
    </row>
    <row r="92" spans="3:13" ht="16.5" hidden="1">
      <c r="C92" s="1617" t="s">
        <v>2410</v>
      </c>
      <c r="D92" s="1648"/>
      <c r="E92" s="1618">
        <f t="shared" ca="1" si="1"/>
        <v>0</v>
      </c>
      <c r="F92" s="1662"/>
      <c r="G92" s="1662"/>
      <c r="H92" s="1664">
        <f>IFERROR(VLOOKUP(Financeiros[[#This Row],[Tipo]],RefTabTipo[],2,FALSE),0)</f>
        <v>0</v>
      </c>
      <c r="I92" s="1626">
        <f>IFERROR(VLOOKUP(Financeiros[[#This Row],[Tipo]],RefTabTipo[],3,FALSE),0)</f>
        <v>0</v>
      </c>
      <c r="J92" s="1626">
        <f>IFERROR(VLOOKUP(Financeiros[[#This Row],[Tipo]],RefTabTipo[],4,FALSE),0)</f>
        <v>0</v>
      </c>
      <c r="K92" s="1664">
        <f>IFERROR(VLOOKUP(Financeiros[[#This Row],[Grupo Tarifário]],RefTabGrupoTarifa[],2,FALSE),0)</f>
        <v>0</v>
      </c>
      <c r="L92" s="1664">
        <f>IFERROR(VLOOKUP(Financeiros[[#This Row],[Grupo Tarifário]],RefTabGrupoTarifa[],3,FALSE),0)</f>
        <v>0</v>
      </c>
      <c r="M92" s="1664">
        <f>IFERROR(VLOOKUP(Financeiros[[#This Row],[Grupo Tarifário]],RefTabGrupoTarifa[],4,FALSE),0)</f>
        <v>0</v>
      </c>
    </row>
    <row r="93" spans="3:13" ht="16.5" hidden="1">
      <c r="C93" s="1617" t="s">
        <v>2411</v>
      </c>
      <c r="D93" s="1648"/>
      <c r="E93" s="1618">
        <f t="shared" ca="1" si="1"/>
        <v>0</v>
      </c>
      <c r="F93" s="1662"/>
      <c r="G93" s="1662"/>
      <c r="H93" s="1664">
        <f>IFERROR(VLOOKUP(Financeiros[[#This Row],[Tipo]],RefTabTipo[],2,FALSE),0)</f>
        <v>0</v>
      </c>
      <c r="I93" s="1626">
        <f>IFERROR(VLOOKUP(Financeiros[[#This Row],[Tipo]],RefTabTipo[],3,FALSE),0)</f>
        <v>0</v>
      </c>
      <c r="J93" s="1626">
        <f>IFERROR(VLOOKUP(Financeiros[[#This Row],[Tipo]],RefTabTipo[],4,FALSE),0)</f>
        <v>0</v>
      </c>
      <c r="K93" s="1664">
        <f>IFERROR(VLOOKUP(Financeiros[[#This Row],[Grupo Tarifário]],RefTabGrupoTarifa[],2,FALSE),0)</f>
        <v>0</v>
      </c>
      <c r="L93" s="1664">
        <f>IFERROR(VLOOKUP(Financeiros[[#This Row],[Grupo Tarifário]],RefTabGrupoTarifa[],3,FALSE),0)</f>
        <v>0</v>
      </c>
      <c r="M93" s="1664">
        <f>IFERROR(VLOOKUP(Financeiros[[#This Row],[Grupo Tarifário]],RefTabGrupoTarifa[],4,FALSE),0)</f>
        <v>0</v>
      </c>
    </row>
    <row r="94" spans="3:13" ht="16.5" hidden="1">
      <c r="C94" s="1791" t="s">
        <v>2412</v>
      </c>
      <c r="D94" s="1673"/>
      <c r="E94" s="1618">
        <f t="shared" ca="1" si="1"/>
        <v>0</v>
      </c>
      <c r="F94" s="1662"/>
      <c r="G94" s="1674"/>
      <c r="H94" s="1664">
        <f>IFERROR(VLOOKUP(Financeiros[[#This Row],[Tipo]],RefTabTipo[],2,FALSE),0)</f>
        <v>0</v>
      </c>
      <c r="I94" s="1626">
        <f>IFERROR(VLOOKUP(Financeiros[[#This Row],[Tipo]],RefTabTipo[],3,FALSE),0)</f>
        <v>0</v>
      </c>
      <c r="J94" s="1626">
        <f>IFERROR(VLOOKUP(Financeiros[[#This Row],[Tipo]],RefTabTipo[],4,FALSE),0)</f>
        <v>0</v>
      </c>
      <c r="K94" s="1664">
        <f>IFERROR(VLOOKUP(Financeiros[[#This Row],[Grupo Tarifário]],RefTabGrupoTarifa[],2,FALSE),0)</f>
        <v>0</v>
      </c>
      <c r="L94" s="1664">
        <f>IFERROR(VLOOKUP(Financeiros[[#This Row],[Grupo Tarifário]],RefTabGrupoTarifa[],3,FALSE),0)</f>
        <v>0</v>
      </c>
      <c r="M94" s="1664">
        <f>IFERROR(VLOOKUP(Financeiros[[#This Row],[Grupo Tarifário]],RefTabGrupoTarifa[],4,FALSE),0)</f>
        <v>0</v>
      </c>
    </row>
    <row r="95" spans="3:13" ht="16.5" hidden="1">
      <c r="C95" s="1617" t="s">
        <v>2413</v>
      </c>
      <c r="D95" s="1648"/>
      <c r="E95" s="1618">
        <f t="shared" ca="1" si="1"/>
        <v>0</v>
      </c>
      <c r="F95" s="1662"/>
      <c r="G95" s="1662"/>
      <c r="H95" s="1664">
        <f>IFERROR(VLOOKUP(Financeiros[[#This Row],[Tipo]],RefTabTipo[],2,FALSE),0)</f>
        <v>0</v>
      </c>
      <c r="I95" s="1626">
        <f>IFERROR(VLOOKUP(Financeiros[[#This Row],[Tipo]],RefTabTipo[],3,FALSE),0)</f>
        <v>0</v>
      </c>
      <c r="J95" s="1626">
        <f>IFERROR(VLOOKUP(Financeiros[[#This Row],[Tipo]],RefTabTipo[],4,FALSE),0)</f>
        <v>0</v>
      </c>
      <c r="K95" s="1664">
        <f>IFERROR(VLOOKUP(Financeiros[[#This Row],[Grupo Tarifário]],RefTabGrupoTarifa[],2,FALSE),0)</f>
        <v>0</v>
      </c>
      <c r="L95" s="1664">
        <f>IFERROR(VLOOKUP(Financeiros[[#This Row],[Grupo Tarifário]],RefTabGrupoTarifa[],3,FALSE),0)</f>
        <v>0</v>
      </c>
      <c r="M95" s="1664">
        <f>IFERROR(VLOOKUP(Financeiros[[#This Row],[Grupo Tarifário]],RefTabGrupoTarifa[],4,FALSE),0)</f>
        <v>0</v>
      </c>
    </row>
    <row r="96" spans="3:13" ht="16.5" hidden="1">
      <c r="C96" s="1617" t="s">
        <v>2414</v>
      </c>
      <c r="D96" s="1648"/>
      <c r="E96" s="1618">
        <f t="shared" ca="1" si="1"/>
        <v>0</v>
      </c>
      <c r="F96" s="1662"/>
      <c r="G96" s="1662"/>
      <c r="H96" s="1664">
        <f>IFERROR(VLOOKUP(Financeiros[[#This Row],[Tipo]],RefTabTipo[],2,FALSE),0)</f>
        <v>0</v>
      </c>
      <c r="I96" s="1626">
        <f>IFERROR(VLOOKUP(Financeiros[[#This Row],[Tipo]],RefTabTipo[],3,FALSE),0)</f>
        <v>0</v>
      </c>
      <c r="J96" s="1626">
        <f>IFERROR(VLOOKUP(Financeiros[[#This Row],[Tipo]],RefTabTipo[],4,FALSE),0)</f>
        <v>0</v>
      </c>
      <c r="K96" s="1664">
        <f>IFERROR(VLOOKUP(Financeiros[[#This Row],[Grupo Tarifário]],RefTabGrupoTarifa[],2,FALSE),0)</f>
        <v>0</v>
      </c>
      <c r="L96" s="1664">
        <f>IFERROR(VLOOKUP(Financeiros[[#This Row],[Grupo Tarifário]],RefTabGrupoTarifa[],3,FALSE),0)</f>
        <v>0</v>
      </c>
      <c r="M96" s="1664">
        <f>IFERROR(VLOOKUP(Financeiros[[#This Row],[Grupo Tarifário]],RefTabGrupoTarifa[],4,FALSE),0)</f>
        <v>0</v>
      </c>
    </row>
    <row r="97" spans="3:13" ht="16.5" hidden="1">
      <c r="C97" s="1617" t="s">
        <v>2415</v>
      </c>
      <c r="D97" s="1648"/>
      <c r="E97" s="1618">
        <f t="shared" ca="1" si="1"/>
        <v>0</v>
      </c>
      <c r="F97" s="1662"/>
      <c r="G97" s="1662"/>
      <c r="H97" s="1664">
        <f>IFERROR(VLOOKUP(Financeiros[[#This Row],[Tipo]],RefTabTipo[],2,FALSE),0)</f>
        <v>0</v>
      </c>
      <c r="I97" s="1626">
        <f>IFERROR(VLOOKUP(Financeiros[[#This Row],[Tipo]],RefTabTipo[],3,FALSE),0)</f>
        <v>0</v>
      </c>
      <c r="J97" s="1626">
        <f>IFERROR(VLOOKUP(Financeiros[[#This Row],[Tipo]],RefTabTipo[],4,FALSE),0)</f>
        <v>0</v>
      </c>
      <c r="K97" s="1664">
        <f>IFERROR(VLOOKUP(Financeiros[[#This Row],[Grupo Tarifário]],RefTabGrupoTarifa[],2,FALSE),0)</f>
        <v>0</v>
      </c>
      <c r="L97" s="1664">
        <f>IFERROR(VLOOKUP(Financeiros[[#This Row],[Grupo Tarifário]],RefTabGrupoTarifa[],3,FALSE),0)</f>
        <v>0</v>
      </c>
      <c r="M97" s="1664">
        <f>IFERROR(VLOOKUP(Financeiros[[#This Row],[Grupo Tarifário]],RefTabGrupoTarifa[],4,FALSE),0)</f>
        <v>0</v>
      </c>
    </row>
    <row r="98" spans="3:13" ht="16.5" hidden="1">
      <c r="C98" s="1617"/>
      <c r="D98" s="1648"/>
      <c r="E98" s="1618">
        <f t="shared" ca="1" si="1"/>
        <v>0</v>
      </c>
      <c r="F98" s="1662"/>
      <c r="G98" s="1662"/>
      <c r="H98" s="1664">
        <f>IFERROR(VLOOKUP(Financeiros[[#This Row],[Tipo]],RefTabTipo[],2,FALSE),0)</f>
        <v>0</v>
      </c>
      <c r="I98" s="1626">
        <f>IFERROR(VLOOKUP(Financeiros[[#This Row],[Tipo]],RefTabTipo[],3,FALSE),0)</f>
        <v>0</v>
      </c>
      <c r="J98" s="1626">
        <f>IFERROR(VLOOKUP(Financeiros[[#This Row],[Tipo]],RefTabTipo[],4,FALSE),0)</f>
        <v>0</v>
      </c>
      <c r="K98" s="1664">
        <f>IFERROR(VLOOKUP(Financeiros[[#This Row],[Grupo Tarifário]],RefTabGrupoTarifa[],2,FALSE),0)</f>
        <v>0</v>
      </c>
      <c r="L98" s="1664">
        <f>IFERROR(VLOOKUP(Financeiros[[#This Row],[Grupo Tarifário]],RefTabGrupoTarifa[],3,FALSE),0)</f>
        <v>0</v>
      </c>
      <c r="M98" s="1664">
        <f>IFERROR(VLOOKUP(Financeiros[[#This Row],[Grupo Tarifário]],RefTabGrupoTarifa[],4,FALSE),0)</f>
        <v>0</v>
      </c>
    </row>
    <row r="99" spans="3:13" ht="16.5" hidden="1">
      <c r="C99" s="1617"/>
      <c r="D99" s="1648"/>
      <c r="E99" s="1618">
        <f t="shared" ca="1" si="1"/>
        <v>0</v>
      </c>
      <c r="F99" s="1662"/>
      <c r="G99" s="1662"/>
      <c r="H99" s="1664">
        <f>IFERROR(VLOOKUP(Financeiros[[#This Row],[Tipo]],RefTabTipo[],2,FALSE),0)</f>
        <v>0</v>
      </c>
      <c r="I99" s="1626">
        <f>IFERROR(VLOOKUP(Financeiros[[#This Row],[Tipo]],RefTabTipo[],3,FALSE),0)</f>
        <v>0</v>
      </c>
      <c r="J99" s="1626">
        <f>IFERROR(VLOOKUP(Financeiros[[#This Row],[Tipo]],RefTabTipo[],4,FALSE),0)</f>
        <v>0</v>
      </c>
      <c r="K99" s="1664">
        <f>IFERROR(VLOOKUP(Financeiros[[#This Row],[Grupo Tarifário]],RefTabGrupoTarifa[],2,FALSE),0)</f>
        <v>0</v>
      </c>
      <c r="L99" s="1664">
        <f>IFERROR(VLOOKUP(Financeiros[[#This Row],[Grupo Tarifário]],RefTabGrupoTarifa[],3,FALSE),0)</f>
        <v>0</v>
      </c>
      <c r="M99" s="1664">
        <f>IFERROR(VLOOKUP(Financeiros[[#This Row],[Grupo Tarifário]],RefTabGrupoTarifa[],4,FALSE),0)</f>
        <v>0</v>
      </c>
    </row>
    <row r="100" spans="3:13" ht="16.5" hidden="1">
      <c r="C100" s="1617"/>
      <c r="D100" s="1648"/>
      <c r="E100" s="1618">
        <f t="shared" ca="1" si="1"/>
        <v>0</v>
      </c>
      <c r="F100" s="1662"/>
      <c r="G100" s="1662"/>
      <c r="H100" s="1664">
        <f>IFERROR(VLOOKUP(Financeiros[[#This Row],[Tipo]],RefTabTipo[],2,FALSE),0)</f>
        <v>0</v>
      </c>
      <c r="I100" s="1626">
        <f>IFERROR(VLOOKUP(Financeiros[[#This Row],[Tipo]],RefTabTipo[],3,FALSE),0)</f>
        <v>0</v>
      </c>
      <c r="J100" s="1626">
        <f>IFERROR(VLOOKUP(Financeiros[[#This Row],[Tipo]],RefTabTipo[],4,FALSE),0)</f>
        <v>0</v>
      </c>
      <c r="K100" s="1664">
        <f>IFERROR(VLOOKUP(Financeiros[[#This Row],[Grupo Tarifário]],RefTabGrupoTarifa[],2,FALSE),0)</f>
        <v>0</v>
      </c>
      <c r="L100" s="1664">
        <f>IFERROR(VLOOKUP(Financeiros[[#This Row],[Grupo Tarifário]],RefTabGrupoTarifa[],3,FALSE),0)</f>
        <v>0</v>
      </c>
      <c r="M100" s="1664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26 D29:D31 D33:D34 D39 D42 D49:D76 D77:D91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0" t="s">
        <v>2283</v>
      </c>
      <c r="B1" s="1225"/>
      <c r="C1" s="1225"/>
      <c r="D1" s="1225"/>
      <c r="E1" s="931"/>
      <c r="F1" s="931"/>
      <c r="G1" s="1128" t="s">
        <v>873</v>
      </c>
      <c r="H1" s="1129">
        <f ca="1">LnkTXTIRTEco</f>
        <v>-0.10630000000000001</v>
      </c>
    </row>
    <row r="2" spans="1:8" ht="16.5">
      <c r="A2" s="136" t="str">
        <f>CAPA!C9</f>
        <v>Coopermila</v>
      </c>
      <c r="B2" s="70"/>
      <c r="C2" s="70"/>
      <c r="D2" s="70"/>
      <c r="E2" s="70"/>
      <c r="F2" s="70"/>
      <c r="G2" s="120" t="s">
        <v>877</v>
      </c>
      <c r="H2" s="121">
        <f ca="1">LnkTXTIRTTotal</f>
        <v>-0.2195</v>
      </c>
    </row>
    <row r="7" spans="1:8">
      <c r="A7" s="1856" t="s">
        <v>2044</v>
      </c>
      <c r="B7" s="1856"/>
      <c r="C7" s="1856"/>
      <c r="D7" s="1856"/>
      <c r="E7" s="1856"/>
      <c r="F7" s="1856"/>
      <c r="G7" s="1856"/>
      <c r="H7" s="1856"/>
    </row>
    <row r="9" spans="1:8">
      <c r="A9" s="9" t="s">
        <v>2282</v>
      </c>
    </row>
    <row r="12" spans="1:8">
      <c r="A12" s="688" t="s">
        <v>192</v>
      </c>
      <c r="B12" s="296" t="s">
        <v>2039</v>
      </c>
    </row>
    <row r="13" spans="1:8">
      <c r="A13" s="688" t="s">
        <v>952</v>
      </c>
      <c r="B13" s="1721"/>
    </row>
    <row r="14" spans="1:8">
      <c r="A14" s="688" t="s">
        <v>971</v>
      </c>
      <c r="B14" s="1721"/>
    </row>
    <row r="16" spans="1:8">
      <c r="A16" s="296" t="s">
        <v>192</v>
      </c>
      <c r="B16" s="296" t="s">
        <v>2045</v>
      </c>
      <c r="C16" s="296" t="s">
        <v>2040</v>
      </c>
      <c r="D16" s="296" t="s">
        <v>2041</v>
      </c>
      <c r="E16" s="296" t="s">
        <v>769</v>
      </c>
    </row>
    <row r="17" spans="1:8">
      <c r="A17" s="688" t="s">
        <v>769</v>
      </c>
      <c r="B17" s="1722">
        <f>B18+B19</f>
        <v>0</v>
      </c>
      <c r="C17" s="1722">
        <f>Indexador!R49</f>
        <v>0</v>
      </c>
      <c r="D17" s="1722">
        <f>C17*85%</f>
        <v>0</v>
      </c>
      <c r="E17" s="1722">
        <f>SUM(B17:D17)</f>
        <v>0</v>
      </c>
    </row>
    <row r="18" spans="1:8">
      <c r="A18" s="688" t="s">
        <v>952</v>
      </c>
      <c r="B18" s="1722">
        <f>Indexador!V49</f>
        <v>0</v>
      </c>
      <c r="C18" s="1722">
        <f>IFERROR($C$17*C41,0)</f>
        <v>0</v>
      </c>
      <c r="D18" s="1722">
        <f t="shared" ref="D18:D19" si="0">C18*85%</f>
        <v>0</v>
      </c>
      <c r="E18" s="1722">
        <f t="shared" ref="E18:E19" si="1">SUM(B18:D18)</f>
        <v>0</v>
      </c>
    </row>
    <row r="19" spans="1:8">
      <c r="A19" s="688" t="s">
        <v>971</v>
      </c>
      <c r="B19" s="1722">
        <f>Indexador!T49</f>
        <v>0</v>
      </c>
      <c r="C19" s="1722">
        <f>IFERROR($C$17*D41,0)</f>
        <v>0</v>
      </c>
      <c r="D19" s="1722">
        <f t="shared" si="0"/>
        <v>0</v>
      </c>
      <c r="E19" s="1722">
        <f t="shared" si="1"/>
        <v>0</v>
      </c>
    </row>
    <row r="24" spans="1:8">
      <c r="A24" s="1856" t="s">
        <v>2198</v>
      </c>
      <c r="B24" s="1856"/>
      <c r="C24" s="1856"/>
      <c r="D24" s="1856"/>
      <c r="E24" s="1856"/>
      <c r="F24" s="1856"/>
      <c r="G24" s="1856"/>
      <c r="H24" s="1856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154507.07682000002</v>
      </c>
      <c r="D28" s="232">
        <f>SUMIF(FaturasT!$I:$I,'Tributos suprimento'!$B28,FaturasT!AB:AB)</f>
        <v>387074.48501000006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149866.30069999999</v>
      </c>
      <c r="D29" s="232">
        <f>SUMIF(FaturasT!$I:$I,'Tributos suprimento'!$B29,FaturasT!AB:AB)</f>
        <v>460308.6233199999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151589.24453999999</v>
      </c>
      <c r="D30" s="232">
        <f>IF(SUMIF(FaturasT!$I:$I,'Tributos suprimento'!$B30,FaturasT!AB:AB)=0,D29,SUMIF(FaturasT!$I:$I,'Tributos suprimento'!$B30,FaturasT!AB:AB))</f>
        <v>479499.59412000002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151129.63653000002</v>
      </c>
      <c r="D31" s="232">
        <f>IF(SUMIF(FaturasT!$I:$I,'Tributos suprimento'!$B31,FaturasT!AB:AB)=0,D30,SUMIF(FaturasT!$I:$I,'Tributos suprimento'!$B31,FaturasT!AB:AB))</f>
        <v>480543.78643999994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161711.62277999998</v>
      </c>
      <c r="D32" s="232">
        <f>IF(SUMIF(FaturasT!$I:$I,'Tributos suprimento'!$B32,FaturasT!AB:AB)=0,D31,SUMIF(FaturasT!$I:$I,'Tributos suprimento'!$B32,FaturasT!AB:AB))</f>
        <v>505289.75135999994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152661.71924000001</v>
      </c>
      <c r="D33" s="232">
        <f>IF(SUMIF(FaturasT!$I:$I,'Tributos suprimento'!$B33,FaturasT!AB:AB)=0,D32,SUMIF(FaturasT!$I:$I,'Tributos suprimento'!$B33,FaturasT!AB:AB))</f>
        <v>420049.07371999999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156254.26234999998</v>
      </c>
      <c r="D34" s="232">
        <f>IF(SUMIF(FaturasT!$I:$I,'Tributos suprimento'!$B34,FaturasT!AB:AB)=0,D33,SUMIF(FaturasT!$I:$I,'Tributos suprimento'!$B34,FaturasT!AB:AB))</f>
        <v>495304.51088000002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154992.44701999999</v>
      </c>
      <c r="D35" s="232">
        <f>IF(SUMIF(FaturasT!$I:$I,'Tributos suprimento'!$B35,FaturasT!AB:AB)=0,D34,SUMIF(FaturasT!$I:$I,'Tributos suprimento'!$B35,FaturasT!AB:AB))</f>
        <v>468942.89456000004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155822.24267000001</v>
      </c>
      <c r="D36" s="232">
        <f>IF(SUMIF(FaturasT!$I:$I,'Tributos suprimento'!$B36,FaturasT!AB:AB)=0,D35,SUMIF(FaturasT!$I:$I,'Tributos suprimento'!$B36,FaturasT!AB:AB))</f>
        <v>485642.70351999998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154921.32988999999</v>
      </c>
      <c r="D37" s="232">
        <f>IF(SUMIF(FaturasT!$I:$I,'Tributos suprimento'!$B37,FaturasT!AB:AB)=0,D36,SUMIF(FaturasT!$I:$I,'Tributos suprimento'!$B37,FaturasT!AB:AB))</f>
        <v>466660.99515999993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156028.63897999999</v>
      </c>
      <c r="D38" s="232">
        <f>IF(SUMIF(FaturasT!$I:$I,'Tributos suprimento'!$B38,FaturasT!AB:AB)=0,D37,SUMIF(FaturasT!$I:$I,'Tributos suprimento'!$B38,FaturasT!AB:AB))</f>
        <v>489756.78491999989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156028.63897999999</v>
      </c>
      <c r="D39" s="232">
        <f>IF(SUMIF(FaturasT!$I:$I,'Tributos suprimento'!$B39,FaturasT!AB:AB)=0,D38,SUMIF(FaturasT!$I:$I,'Tributos suprimento'!$B39,FaturasT!AB:AB))</f>
        <v>489756.78491999989</v>
      </c>
    </row>
    <row r="40" spans="2:8">
      <c r="B40" s="17" t="s">
        <v>769</v>
      </c>
      <c r="C40" s="748">
        <f>SUM(C28:C39)</f>
        <v>1855513.1605000002</v>
      </c>
      <c r="D40" s="748">
        <f>SUM(D28:D39)</f>
        <v>5628829.987929998</v>
      </c>
    </row>
    <row r="41" spans="2:8">
      <c r="B41" s="1719" t="s">
        <v>2196</v>
      </c>
      <c r="C41" s="1720">
        <f>C40/($C$40+$D$40)</f>
        <v>0.24791930617040642</v>
      </c>
      <c r="D41" s="1720">
        <f>D40/($C$40+$D$40)</f>
        <v>0.75208069382959364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18" customWidth="1"/>
    <col min="2" max="2" width="11.42578125" style="1518" bestFit="1" customWidth="1"/>
    <col min="3" max="3" width="19.28515625" style="1518" customWidth="1"/>
    <col min="4" max="4" width="17.7109375" style="1518" customWidth="1"/>
    <col min="5" max="5" width="13.7109375" style="1518" customWidth="1"/>
    <col min="6" max="8" width="14.7109375" style="1518" customWidth="1"/>
    <col min="9" max="9" width="16.42578125" style="1518" customWidth="1"/>
    <col min="10" max="10" width="19.5703125" style="1518" customWidth="1"/>
    <col min="11" max="18" width="15.7109375" style="1518" customWidth="1"/>
    <col min="19" max="40" width="9" style="1518" customWidth="1"/>
    <col min="41" max="16384" width="9.140625" style="1518"/>
  </cols>
  <sheetData>
    <row r="1" spans="2:24" ht="14.1" customHeight="1"/>
    <row r="2" spans="2:24" ht="14.1" customHeight="1"/>
    <row r="3" spans="2:24" ht="42" customHeight="1">
      <c r="B3" s="1519" t="s">
        <v>2134</v>
      </c>
      <c r="C3" s="1520"/>
      <c r="D3" s="1521" t="s">
        <v>2135</v>
      </c>
      <c r="E3" s="1522" t="s">
        <v>2136</v>
      </c>
      <c r="F3" s="1520"/>
      <c r="G3" s="1521" t="s">
        <v>2137</v>
      </c>
      <c r="H3" s="1521" t="s">
        <v>2138</v>
      </c>
      <c r="I3" s="1521" t="s">
        <v>2139</v>
      </c>
      <c r="J3" s="1521" t="s">
        <v>2140</v>
      </c>
      <c r="K3" s="1521" t="s">
        <v>2141</v>
      </c>
      <c r="L3" s="1521" t="s">
        <v>2142</v>
      </c>
      <c r="M3" s="1521" t="s">
        <v>2143</v>
      </c>
      <c r="N3" s="1521" t="s">
        <v>2144</v>
      </c>
      <c r="O3" s="1521" t="s">
        <v>2145</v>
      </c>
      <c r="P3" s="1521" t="s">
        <v>2146</v>
      </c>
      <c r="Q3" s="1521" t="s">
        <v>2147</v>
      </c>
      <c r="R3" s="1523" t="s">
        <v>2148</v>
      </c>
    </row>
    <row r="4" spans="2:24" ht="14.1" customHeight="1">
      <c r="B4" s="1524" t="s">
        <v>2149</v>
      </c>
      <c r="C4" s="1524"/>
      <c r="D4" s="1524"/>
      <c r="E4" s="1525" t="s">
        <v>114</v>
      </c>
      <c r="F4" s="1526"/>
      <c r="G4" s="1524">
        <v>0</v>
      </c>
      <c r="H4" s="1527">
        <f>D4+G4</f>
        <v>0</v>
      </c>
      <c r="I4" s="1528">
        <f>+D6</f>
        <v>0</v>
      </c>
      <c r="J4" s="1528">
        <f>+F27</f>
        <v>0</v>
      </c>
      <c r="K4" s="1529"/>
      <c r="L4" s="1530">
        <f>K4*VLOOKUP(SAS_RA0_DataFim,Índices!$B$6:$F$50000,5,0)/VLOOKUP(DATE(YEAR(SAS_RA0_DataFim)-2,MONTH(CAPA!C15),1),Índices!$B$6:$F$50000,5,0)</f>
        <v>0</v>
      </c>
      <c r="M4" s="1524"/>
      <c r="N4" s="1528">
        <f>M4*VLOOKUP(SAS_RA0_DataFim,Índices!$B$6:$F$50000,5,0)/VLOOKUP(DATE(YEAR(SAS_RA0_DataFim)-1,MONTH(SAS_RA0_DataFim),1),Índices!$B$6:$F$50000,5,0)</f>
        <v>0</v>
      </c>
      <c r="O4" s="1528">
        <f>G27</f>
        <v>0</v>
      </c>
      <c r="P4" s="1528">
        <f>J4+L4+N4-O4</f>
        <v>0</v>
      </c>
      <c r="Q4" s="1528">
        <f>IF(I4*12&gt;(D4+K4+M4-P4),D4+K4+M4-P4,I4*12)</f>
        <v>0</v>
      </c>
      <c r="R4" s="1531">
        <f>P4+Q4</f>
        <v>0</v>
      </c>
    </row>
    <row r="5" spans="2:24" ht="14.1" customHeight="1"/>
    <row r="6" spans="2:24" ht="14.1" customHeight="1">
      <c r="B6" s="1532" t="s">
        <v>2150</v>
      </c>
      <c r="C6" s="1533"/>
      <c r="D6" s="1534"/>
      <c r="N6" s="1535"/>
    </row>
    <row r="7" spans="2:24" ht="14.1" customHeight="1"/>
    <row r="8" spans="2:24" ht="42" customHeight="1">
      <c r="B8" s="1519" t="s">
        <v>34</v>
      </c>
      <c r="C8" s="1521" t="s">
        <v>2151</v>
      </c>
      <c r="D8" s="1521" t="s">
        <v>2152</v>
      </c>
      <c r="E8" s="1521" t="s">
        <v>2153</v>
      </c>
      <c r="F8" s="1521" t="s">
        <v>2154</v>
      </c>
      <c r="G8" s="1521" t="s">
        <v>2155</v>
      </c>
      <c r="H8" s="1521" t="s">
        <v>2156</v>
      </c>
    </row>
    <row r="9" spans="2:24" ht="14.1" customHeight="1">
      <c r="B9" s="1536">
        <v>44197</v>
      </c>
      <c r="C9" s="1537"/>
      <c r="D9" s="1538"/>
      <c r="E9" s="1539"/>
      <c r="F9" s="1540">
        <f>C9*VLOOKUP(SAS_RA0_DataFim,Índices!$B$6:$F$50000,5,0)/VLOOKUP(DATE(YEAR($B9),MONTH($B9)-1,1),Índices!$B$6:$F$50000,5,0)</f>
        <v>0</v>
      </c>
      <c r="G9" s="1540">
        <f>D9*VLOOKUP(SAS_RA0_DataFim,Índices!$B$6:$F$50000,5,0)/VLOOKUP(DATE(YEAR($B9),MONTH($B9)-1,1),Índices!$B$6:$F$50000,5,0)</f>
        <v>0</v>
      </c>
      <c r="H9" s="1540">
        <f>E9*VLOOKUP(SAS_RA0_DataFim,Índices!$B$6:$F$50000,5,0)/VLOOKUP(DATE(YEAR($B9),MONTH($B9)-1,1),Índices!$B$6:$F$50000,5,0)</f>
        <v>0</v>
      </c>
    </row>
    <row r="10" spans="2:24" ht="14.1" customHeight="1">
      <c r="B10" s="1536">
        <v>44228</v>
      </c>
      <c r="C10" s="1541"/>
      <c r="D10" s="1538"/>
      <c r="E10" s="1542"/>
      <c r="F10" s="1543">
        <f>C10*VLOOKUP(SAS_RA0_DataFim,Índices!$B$6:$F$50000,5,0)/VLOOKUP(DATE(YEAR($B10),MONTH($B10)-1,1),Índices!$B$6:$F$50000,5,0)</f>
        <v>0</v>
      </c>
      <c r="G10" s="1543">
        <f>D10*VLOOKUP(SAS_RA0_DataFim,Índices!$B$6:$F$50000,5,0)/VLOOKUP(DATE(YEAR($B10),MONTH($B10)-1,1),Índices!$B$6:$F$50000,5,0)</f>
        <v>0</v>
      </c>
      <c r="H10" s="1543">
        <f>E10*VLOOKUP(SAS_RA0_DataFim,Índices!$B$6:$F$50000,5,0)/VLOOKUP(DATE(YEAR($B10),MONTH($B10)-1,1),Índices!$B$6:$F$50000,5,0)</f>
        <v>0</v>
      </c>
      <c r="X10" s="1544"/>
    </row>
    <row r="11" spans="2:24" ht="14.1" customHeight="1">
      <c r="B11" s="1536">
        <v>44256</v>
      </c>
      <c r="C11" s="1541"/>
      <c r="D11" s="1538"/>
      <c r="E11" s="1542"/>
      <c r="F11" s="1543">
        <f>C11*VLOOKUP(SAS_RA0_DataFim,Índices!$B$6:$F$50000,5,0)/VLOOKUP(DATE(YEAR($B11),MONTH($B11)-1,1),Índices!$B$6:$F$50000,5,0)</f>
        <v>0</v>
      </c>
      <c r="G11" s="1543">
        <f>D11*VLOOKUP(SAS_RA0_DataFim,Índices!$B$6:$F$50000,5,0)/VLOOKUP(DATE(YEAR($B11),MONTH($B11)-1,1),Índices!$B$6:$F$50000,5,0)</f>
        <v>0</v>
      </c>
      <c r="H11" s="1543">
        <f>E11*VLOOKUP(SAS_RA0_DataFim,Índices!$B$6:$F$50000,5,0)/VLOOKUP(DATE(YEAR($B11),MONTH($B11)-1,1),Índices!$B$6:$F$50000,5,0)</f>
        <v>0</v>
      </c>
    </row>
    <row r="12" spans="2:24" ht="14.1" customHeight="1">
      <c r="B12" s="1536">
        <v>44287</v>
      </c>
      <c r="C12" s="1541"/>
      <c r="D12" s="1538"/>
      <c r="E12" s="1542"/>
      <c r="F12" s="1543">
        <f>C12*VLOOKUP(SAS_RA0_DataFim,Índices!$B$6:$F$50000,5,0)/VLOOKUP(DATE(YEAR($B12),MONTH($B12)-1,1),Índices!$B$6:$F$50000,5,0)</f>
        <v>0</v>
      </c>
      <c r="G12" s="1543">
        <f>D12*VLOOKUP(SAS_RA0_DataFim,Índices!$B$6:$F$50000,5,0)/VLOOKUP(DATE(YEAR($B12),MONTH($B12)-1,1),Índices!$B$6:$F$50000,5,0)</f>
        <v>0</v>
      </c>
      <c r="H12" s="1543">
        <f>E12*VLOOKUP(SAS_RA0_DataFim,Índices!$B$6:$F$50000,5,0)/VLOOKUP(DATE(YEAR($B12),MONTH($B12)-1,1),Índices!$B$6:$F$50000,5,0)</f>
        <v>0</v>
      </c>
    </row>
    <row r="13" spans="2:24" ht="14.1" customHeight="1">
      <c r="B13" s="1536">
        <v>44317</v>
      </c>
      <c r="C13" s="1542"/>
      <c r="D13" s="1545"/>
      <c r="E13" s="1542"/>
      <c r="F13" s="1543">
        <f>C13*VLOOKUP(SAS_RA0_DataFim,Índices!$B$6:$F$50000,5,0)/VLOOKUP(DATE(YEAR($B13),MONTH($B13)-1,1),Índices!$B$6:$F$50000,5,0)</f>
        <v>0</v>
      </c>
      <c r="G13" s="1543">
        <f>D13*VLOOKUP(SAS_RA0_DataFim,Índices!$B$6:$F$50000,5,0)/VLOOKUP(DATE(YEAR($B13),MONTH($B13)-1,1),Índices!$B$6:$F$50000,5,0)</f>
        <v>0</v>
      </c>
      <c r="H13" s="1543">
        <f>E13*VLOOKUP(SAS_RA0_DataFim,Índices!$B$6:$F$50000,5,0)/VLOOKUP(DATE(YEAR($B13),MONTH($B13)-1,1),Índices!$B$6:$F$50000,5,0)</f>
        <v>0</v>
      </c>
    </row>
    <row r="14" spans="2:24" ht="14.1" customHeight="1">
      <c r="B14" s="1536">
        <v>44348</v>
      </c>
      <c r="C14" s="1546"/>
      <c r="D14" s="1545"/>
      <c r="E14" s="1542"/>
      <c r="F14" s="1543">
        <f>C14*VLOOKUP(SAS_RA0_DataFim,Índices!$B$6:$F$50000,5,0)/VLOOKUP(DATE(YEAR($B14),MONTH($B14)-1,1),Índices!$B$6:$F$50000,5,0)</f>
        <v>0</v>
      </c>
      <c r="G14" s="1543">
        <f>D14*VLOOKUP(SAS_RA0_DataFim,Índices!$B$6:$F$50000,5,0)/VLOOKUP(DATE(YEAR($B14),MONTH($B14)-1,1),Índices!$B$6:$F$50000,5,0)</f>
        <v>0</v>
      </c>
      <c r="H14" s="1543">
        <f>E14*VLOOKUP(SAS_RA0_DataFim,Índices!$B$6:$F$50000,5,0)/VLOOKUP(DATE(YEAR($B14),MONTH($B14)-1,1),Índices!$B$6:$F$50000,5,0)</f>
        <v>0</v>
      </c>
    </row>
    <row r="15" spans="2:24" ht="14.1" customHeight="1">
      <c r="B15" s="1536">
        <v>44378</v>
      </c>
      <c r="C15" s="1546"/>
      <c r="D15" s="1545"/>
      <c r="E15" s="1542"/>
      <c r="F15" s="1543">
        <f>C15*VLOOKUP(SAS_RA0_DataFim,Índices!$B$6:$F$50000,5,0)/VLOOKUP(DATE(YEAR($B15),MONTH($B15)-1,1),Índices!$B$6:$F$50000,5,0)</f>
        <v>0</v>
      </c>
      <c r="G15" s="1543">
        <f>D15*VLOOKUP(SAS_RA0_DataFim,Índices!$B$6:$F$50000,5,0)/VLOOKUP(DATE(YEAR($B15),MONTH($B15)-1,1),Índices!$B$6:$F$50000,5,0)</f>
        <v>0</v>
      </c>
      <c r="H15" s="1543">
        <f>E15*VLOOKUP(SAS_RA0_DataFim,Índices!$B$6:$F$50000,5,0)/VLOOKUP(DATE(YEAR($B15),MONTH($B15)-1,1),Índices!$B$6:$F$50000,5,0)</f>
        <v>0</v>
      </c>
    </row>
    <row r="16" spans="2:24" ht="14.1" customHeight="1">
      <c r="B16" s="1536">
        <v>44409</v>
      </c>
      <c r="C16" s="1546"/>
      <c r="D16" s="1545"/>
      <c r="E16" s="1542"/>
      <c r="F16" s="1543">
        <f>C16*VLOOKUP(SAS_RA0_DataFim,Índices!$B$6:$F$50000,5,0)/VLOOKUP(DATE(YEAR($B16),MONTH($B16)-1,1),Índices!$B$6:$F$50000,5,0)</f>
        <v>0</v>
      </c>
      <c r="G16" s="1543">
        <f>D16*VLOOKUP(SAS_RA0_DataFim,Índices!$B$6:$F$50000,5,0)/VLOOKUP(DATE(YEAR($B16),MONTH($B16)-1,1),Índices!$B$6:$F$50000,5,0)</f>
        <v>0</v>
      </c>
      <c r="H16" s="1543">
        <f>E16*VLOOKUP(SAS_RA0_DataFim,Índices!$B$6:$F$50000,5,0)/VLOOKUP(DATE(YEAR($B16),MONTH($B16)-1,1),Índices!$B$6:$F$50000,5,0)</f>
        <v>0</v>
      </c>
    </row>
    <row r="17" spans="2:8" ht="14.1" customHeight="1">
      <c r="B17" s="1536">
        <v>44440</v>
      </c>
      <c r="C17" s="1546"/>
      <c r="D17" s="1545"/>
      <c r="E17" s="1542"/>
      <c r="F17" s="1543">
        <f>C17*VLOOKUP(SAS_RA0_DataFim,Índices!$B$6:$F$50000,5,0)/VLOOKUP(DATE(YEAR($B17),MONTH($B17)-1,1),Índices!$B$6:$F$50000,5,0)</f>
        <v>0</v>
      </c>
      <c r="G17" s="1543">
        <f>D17*VLOOKUP(SAS_RA0_DataFim,Índices!$B$6:$F$50000,5,0)/VLOOKUP(DATE(YEAR($B17),MONTH($B17)-1,1),Índices!$B$6:$F$50000,5,0)</f>
        <v>0</v>
      </c>
      <c r="H17" s="1543">
        <f>E17*VLOOKUP(SAS_RA0_DataFim,Índices!$B$6:$F$50000,5,0)/VLOOKUP(DATE(YEAR($B17),MONTH($B17)-1,1),Índices!$B$6:$F$50000,5,0)</f>
        <v>0</v>
      </c>
    </row>
    <row r="18" spans="2:8" ht="14.1" customHeight="1">
      <c r="B18" s="1536">
        <v>44470</v>
      </c>
      <c r="C18" s="1546"/>
      <c r="D18" s="1545"/>
      <c r="E18" s="1542"/>
      <c r="F18" s="1543">
        <f>C18*VLOOKUP(SAS_RA0_DataFim,Índices!$B$6:$F$50000,5,0)/VLOOKUP(DATE(YEAR($B18),MONTH($B18)-1,1),Índices!$B$6:$F$50000,5,0)</f>
        <v>0</v>
      </c>
      <c r="G18" s="1543">
        <f>D18*VLOOKUP(SAS_RA0_DataFim,Índices!$B$6:$F$50000,5,0)/VLOOKUP(DATE(YEAR($B18),MONTH($B18)-1,1),Índices!$B$6:$F$50000,5,0)</f>
        <v>0</v>
      </c>
      <c r="H18" s="1543">
        <f>E18*VLOOKUP(SAS_RA0_DataFim,Índices!$B$6:$F$50000,5,0)/VLOOKUP(DATE(YEAR($B18),MONTH($B18)-1,1),Índices!$B$6:$F$50000,5,0)</f>
        <v>0</v>
      </c>
    </row>
    <row r="19" spans="2:8" ht="14.1" customHeight="1">
      <c r="B19" s="1536">
        <v>44501</v>
      </c>
      <c r="C19" s="1546"/>
      <c r="D19" s="1545"/>
      <c r="E19" s="1542"/>
      <c r="F19" s="1543">
        <f>C19*VLOOKUP(SAS_RA0_DataFim,Índices!$B$6:$F$50000,5,0)/VLOOKUP(DATE(YEAR($B19),MONTH($B19)-1,1),Índices!$B$6:$F$50000,5,0)</f>
        <v>0</v>
      </c>
      <c r="G19" s="1543">
        <f>D19*VLOOKUP(SAS_RA0_DataFim,Índices!$B$6:$F$50000,5,0)/VLOOKUP(DATE(YEAR($B19),MONTH($B19)-1,1),Índices!$B$6:$F$50000,5,0)</f>
        <v>0</v>
      </c>
      <c r="H19" s="1543">
        <f>E19*VLOOKUP(SAS_RA0_DataFim,Índices!$B$6:$F$50000,5,0)/VLOOKUP(DATE(YEAR($B19),MONTH($B19)-1,1),Índices!$B$6:$F$50000,5,0)</f>
        <v>0</v>
      </c>
    </row>
    <row r="20" spans="2:8" ht="14.1" customHeight="1">
      <c r="B20" s="1536">
        <v>44531</v>
      </c>
      <c r="C20" s="1546"/>
      <c r="D20" s="1545"/>
      <c r="E20" s="1542"/>
      <c r="F20" s="1543">
        <f>C20*VLOOKUP(SAS_RA0_DataFim,Índices!$B$6:$F$50000,5,0)/VLOOKUP(DATE(YEAR($B20),MONTH($B20)-1,1),Índices!$B$6:$F$50000,5,0)</f>
        <v>0</v>
      </c>
      <c r="G20" s="1543">
        <f>D20*VLOOKUP(SAS_RA0_DataFim,Índices!$B$6:$F$50000,5,0)/VLOOKUP(DATE(YEAR($B20),MONTH($B20)-1,1),Índices!$B$6:$F$50000,5,0)</f>
        <v>0</v>
      </c>
      <c r="H20" s="1543">
        <f>E20*VLOOKUP(SAS_RA0_DataFim,Índices!$B$6:$F$50000,5,0)/VLOOKUP(DATE(YEAR($B20),MONTH($B20)-1,1),Índices!$B$6:$F$50000,5,0)</f>
        <v>0</v>
      </c>
    </row>
    <row r="21" spans="2:8" ht="14.1" customHeight="1">
      <c r="B21" s="1536">
        <v>44562</v>
      </c>
      <c r="C21" s="1546"/>
      <c r="D21" s="1545"/>
      <c r="E21" s="1542"/>
      <c r="F21" s="1543">
        <f>C21*VLOOKUP(SAS_RA0_DataFim,Índices!$B$6:$F$50000,5,0)/VLOOKUP(DATE(YEAR($B21),MONTH($B21)-1,1),Índices!$B$6:$F$50000,5,0)</f>
        <v>0</v>
      </c>
      <c r="G21" s="1543">
        <f>D21*VLOOKUP(SAS_RA0_DataFim,Índices!$B$6:$F$50000,5,0)/VLOOKUP(DATE(YEAR($B21),MONTH($B21)-1,1),Índices!$B$6:$F$50000,5,0)</f>
        <v>0</v>
      </c>
      <c r="H21" s="1543">
        <f>E21*VLOOKUP(SAS_RA0_DataFim,Índices!$B$6:$F$50000,5,0)/VLOOKUP(DATE(YEAR($B21),MONTH($B21)-1,1),Índices!$B$6:$F$50000,5,0)</f>
        <v>0</v>
      </c>
    </row>
    <row r="22" spans="2:8" ht="14.1" customHeight="1">
      <c r="B22" s="1536">
        <v>44593</v>
      </c>
      <c r="C22" s="1546"/>
      <c r="D22" s="1545"/>
      <c r="E22" s="1542"/>
      <c r="F22" s="1543">
        <f>C22*VLOOKUP(SAS_RA0_DataFim,Índices!$B$6:$F$50000,5,0)/VLOOKUP(DATE(YEAR($B22),MONTH($B22)-1,1),Índices!$B$6:$F$50000,5,0)</f>
        <v>0</v>
      </c>
      <c r="G22" s="1543">
        <f>D22*VLOOKUP(SAS_RA0_DataFim,Índices!$B$6:$F$50000,5,0)/VLOOKUP(DATE(YEAR($B22),MONTH($B22)-1,1),Índices!$B$6:$F$50000,5,0)</f>
        <v>0</v>
      </c>
      <c r="H22" s="1543">
        <f>E22*VLOOKUP(SAS_RA0_DataFim,Índices!$B$6:$F$50000,5,0)/VLOOKUP(DATE(YEAR($B22),MONTH($B22)-1,1),Índices!$B$6:$F$50000,5,0)</f>
        <v>0</v>
      </c>
    </row>
    <row r="23" spans="2:8" ht="14.1" customHeight="1">
      <c r="B23" s="1536">
        <v>44621</v>
      </c>
      <c r="C23" s="1546"/>
      <c r="D23" s="1545"/>
      <c r="E23" s="1542"/>
      <c r="F23" s="1543">
        <f>C23*VLOOKUP(SAS_RA0_DataFim,Índices!$B$6:$F$50000,5,0)/VLOOKUP(DATE(YEAR($B23),MONTH($B23)-1,1),Índices!$B$6:$F$50000,5,0)</f>
        <v>0</v>
      </c>
      <c r="G23" s="1543">
        <f>D23*VLOOKUP(SAS_RA0_DataFim,Índices!$B$6:$F$50000,5,0)/VLOOKUP(DATE(YEAR($B23),MONTH($B23)-1,1),Índices!$B$6:$F$50000,5,0)</f>
        <v>0</v>
      </c>
      <c r="H23" s="1543">
        <f>E23*VLOOKUP(SAS_RA0_DataFim,Índices!$B$6:$F$50000,5,0)/VLOOKUP(DATE(YEAR($B23),MONTH($B23)-1,1),Índices!$B$6:$F$50000,5,0)</f>
        <v>0</v>
      </c>
    </row>
    <row r="24" spans="2:8" ht="14.1" customHeight="1">
      <c r="B24" s="1536">
        <v>44652</v>
      </c>
      <c r="C24" s="1546"/>
      <c r="D24" s="1545"/>
      <c r="E24" s="1542"/>
      <c r="F24" s="1543">
        <f>C24*VLOOKUP(SAS_RA0_DataFim,Índices!$B$6:$F$50000,5,0)/VLOOKUP(DATE(YEAR($B24),MONTH($B24)-1,1),Índices!$B$6:$F$50000,5,0)</f>
        <v>0</v>
      </c>
      <c r="G24" s="1543">
        <f>D24*VLOOKUP(SAS_RA0_DataFim,Índices!$B$6:$F$50000,5,0)/VLOOKUP(DATE(YEAR($B24),MONTH($B24)-1,1),Índices!$B$6:$F$50000,5,0)</f>
        <v>0</v>
      </c>
      <c r="H24" s="1543">
        <f>E24*VLOOKUP(SAS_RA0_DataFim,Índices!$B$6:$F$50000,5,0)/VLOOKUP(DATE(YEAR($B24),MONTH($B24)-1,1),Índices!$B$6:$F$50000,5,0)</f>
        <v>0</v>
      </c>
    </row>
    <row r="25" spans="2:8" ht="14.1" customHeight="1">
      <c r="B25" s="1536">
        <v>44682</v>
      </c>
      <c r="C25" s="1546"/>
      <c r="D25" s="1545"/>
      <c r="E25" s="1542"/>
      <c r="F25" s="1543">
        <f>C25*VLOOKUP(SAS_RA0_DataFim,Índices!$B$6:$F$50000,5,0)/VLOOKUP(DATE(YEAR($B25),MONTH($B25)-1,1),Índices!$B$6:$F$50000,5,0)</f>
        <v>0</v>
      </c>
      <c r="G25" s="1543">
        <f>D25*VLOOKUP(SAS_RA0_DataFim,Índices!$B$6:$F$50000,5,0)/VLOOKUP(DATE(YEAR($B25),MONTH($B25)-1,1),Índices!$B$6:$F$50000,5,0)</f>
        <v>0</v>
      </c>
      <c r="H25" s="1543">
        <f>E25*VLOOKUP(SAS_RA0_DataFim,Índices!$B$6:$F$50000,5,0)/VLOOKUP(DATE(YEAR($B25),MONTH($B25)-1,1),Índices!$B$6:$F$50000,5,0)</f>
        <v>0</v>
      </c>
    </row>
    <row r="26" spans="2:8" ht="14.1" customHeight="1">
      <c r="B26" s="1536">
        <v>44713</v>
      </c>
      <c r="C26" s="1546"/>
      <c r="D26" s="1545"/>
      <c r="E26" s="1542"/>
      <c r="F26" s="1543">
        <f>C26*VLOOKUP(SAS_RA0_DataFim,Índices!$B$6:$F$50000,5,0)/VLOOKUP(DATE(YEAR($B26),MONTH($B26)-1,1),Índices!$B$6:$F$50000,5,0)</f>
        <v>0</v>
      </c>
      <c r="G26" s="1543">
        <f>D26*VLOOKUP(SAS_RA0_DataFim,Índices!$B$6:$F$50000,5,0)/VLOOKUP(DATE(YEAR($B26),MONTH($B26)-1,1),Índices!$B$6:$F$50000,5,0)</f>
        <v>0</v>
      </c>
      <c r="H26" s="1543">
        <f>E26*VLOOKUP(SAS_RA0_DataFim,Índices!$B$6:$F$50000,5,0)/VLOOKUP(DATE(YEAR($B26),MONTH($B26)-1,1),Índices!$B$6:$F$50000,5,0)</f>
        <v>0</v>
      </c>
    </row>
    <row r="27" spans="2:8" ht="14.1" customHeight="1">
      <c r="B27" s="1547" t="s">
        <v>760</v>
      </c>
      <c r="C27" s="1548">
        <f>SUM(C9:C26)</f>
        <v>0</v>
      </c>
      <c r="D27" s="1548">
        <f t="shared" ref="D27:E27" si="0">SUM(D9:D26)</f>
        <v>0</v>
      </c>
      <c r="E27" s="1548">
        <f t="shared" si="0"/>
        <v>0</v>
      </c>
      <c r="F27" s="1548">
        <f>SUM(F9:F26)</f>
        <v>0</v>
      </c>
      <c r="G27" s="1548">
        <f t="shared" ref="G27:H27" si="1">SUM(G9:G26)</f>
        <v>0</v>
      </c>
      <c r="H27" s="1548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E7" sqref="E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4" t="s">
        <v>2131</v>
      </c>
    </row>
    <row r="4" spans="1:15">
      <c r="B4" s="1476" t="s">
        <v>2120</v>
      </c>
      <c r="C4" s="1478" t="s">
        <v>2121</v>
      </c>
      <c r="D4" s="1477" t="s">
        <v>2122</v>
      </c>
      <c r="E4" s="1482"/>
      <c r="F4" s="1482"/>
      <c r="G4" s="1482"/>
      <c r="N4" t="s">
        <v>34</v>
      </c>
      <c r="O4" t="s">
        <v>2123</v>
      </c>
    </row>
    <row r="5" spans="1:15">
      <c r="A5" s="796" t="s">
        <v>2072</v>
      </c>
      <c r="B5" s="844" t="s">
        <v>2129</v>
      </c>
      <c r="C5" s="1485">
        <f>IFERROR(VLOOKUP(A5,Escassez[#All],2,FALSE),0)</f>
        <v>0</v>
      </c>
      <c r="D5" s="1485" t="e">
        <f>C5/$C$8*$D$8</f>
        <v>#DIV/0!</v>
      </c>
      <c r="E5" s="1483"/>
      <c r="F5" s="1481"/>
      <c r="G5" s="1472"/>
      <c r="N5" s="8">
        <v>44690</v>
      </c>
      <c r="O5" s="232">
        <f>C8</f>
        <v>0</v>
      </c>
    </row>
    <row r="6" spans="1:15">
      <c r="A6" s="1460" t="s">
        <v>2073</v>
      </c>
      <c r="B6" s="844" t="s">
        <v>2130</v>
      </c>
      <c r="C6" s="1485">
        <f>IFERROR(VLOOKUP(A6,Escassez[#All],2,FALSE),0)</f>
        <v>0</v>
      </c>
      <c r="D6" s="1485" t="e">
        <f>C6/$C$8*$D$8</f>
        <v>#DIV/0!</v>
      </c>
      <c r="E6" s="1483"/>
      <c r="F6" s="1481"/>
      <c r="G6" s="1472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0" t="s">
        <v>2074</v>
      </c>
      <c r="B7" s="844" t="s">
        <v>105</v>
      </c>
      <c r="C7" s="1485">
        <f>IFERROR(VLOOKUP(A7,Escassez[#All],2,FALSE),0)</f>
        <v>0</v>
      </c>
      <c r="D7" s="1485" t="e">
        <f>C7/$C$8*$D$8</f>
        <v>#DIV/0!</v>
      </c>
      <c r="E7" s="1761"/>
      <c r="F7" s="1481"/>
      <c r="G7" s="1472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79"/>
      <c r="C8" s="1486">
        <f>SUM(C5:C7)</f>
        <v>0</v>
      </c>
      <c r="D8" s="1486">
        <f>VLOOKUP(DataRevRea,'Financeiros Mitigação'!N4:O241,2,FALSE)</f>
        <v>0</v>
      </c>
      <c r="E8" s="844"/>
      <c r="F8" s="1473"/>
      <c r="G8" s="1473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1"/>
      <c r="C10" s="1491"/>
      <c r="D10" s="1491"/>
      <c r="E10" s="1491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87" t="s">
        <v>1304</v>
      </c>
      <c r="C12" s="1480"/>
      <c r="D12" s="1488"/>
      <c r="E12" s="1470"/>
      <c r="F12" s="1470"/>
      <c r="G12" s="1470"/>
      <c r="H12" s="1470"/>
      <c r="I12" s="1470"/>
      <c r="J12" s="1470"/>
      <c r="K12" s="1470"/>
      <c r="L12" s="1470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89"/>
      <c r="C13" s="1471"/>
      <c r="D13" s="1471"/>
      <c r="E13" s="1471"/>
      <c r="F13" s="1471"/>
      <c r="G13" s="1471"/>
      <c r="H13" s="1471"/>
      <c r="I13" s="1471"/>
      <c r="J13" s="1471"/>
      <c r="K13" s="1471"/>
      <c r="L13" s="1471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0"/>
      <c r="C14" s="1491"/>
      <c r="D14" s="1491"/>
      <c r="E14" s="1492"/>
      <c r="F14" s="1493"/>
      <c r="G14" s="1472"/>
      <c r="H14" s="1472"/>
      <c r="I14" s="1472"/>
      <c r="J14" s="1472"/>
      <c r="K14" s="1472"/>
      <c r="L14" s="1472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0"/>
      <c r="C15" s="1491"/>
      <c r="D15" s="1491"/>
      <c r="E15" s="1492"/>
      <c r="F15" s="1493"/>
      <c r="G15" s="1472"/>
      <c r="H15" s="1472"/>
      <c r="I15" s="1472"/>
      <c r="J15" s="1472"/>
      <c r="K15" s="1472"/>
      <c r="L15" s="1472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0"/>
      <c r="C16" s="1491"/>
      <c r="D16" s="1491"/>
      <c r="E16" s="1492"/>
      <c r="F16" s="1493"/>
      <c r="G16" s="1472"/>
      <c r="H16" s="1472"/>
      <c r="I16" s="1472"/>
      <c r="J16" s="1472"/>
      <c r="K16" s="1472"/>
      <c r="L16" s="1472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0"/>
      <c r="C17" s="1491"/>
      <c r="D17" s="1491"/>
      <c r="E17" s="1492"/>
      <c r="F17" s="1493"/>
      <c r="G17" s="1472"/>
      <c r="H17" s="1472"/>
      <c r="I17" s="1472"/>
      <c r="J17" s="1472"/>
      <c r="K17" s="1472"/>
      <c r="L17" s="1472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0"/>
      <c r="C18" s="1491"/>
      <c r="D18" s="1491"/>
      <c r="E18" s="1492"/>
      <c r="F18" s="1493"/>
      <c r="G18" s="1472"/>
      <c r="H18" s="1472"/>
      <c r="I18" s="1472"/>
      <c r="J18" s="1472"/>
      <c r="K18" s="1472"/>
      <c r="L18" s="1472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0"/>
      <c r="C19" s="1491"/>
      <c r="D19" s="1491"/>
      <c r="E19" s="1491"/>
      <c r="F19" s="1493"/>
      <c r="G19" s="1472"/>
      <c r="H19" s="1472"/>
      <c r="I19" s="1472"/>
      <c r="J19" s="1472"/>
      <c r="K19" s="1472"/>
      <c r="L19" s="1472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0"/>
      <c r="C20" s="1491"/>
      <c r="D20" s="1491"/>
      <c r="E20" s="1491"/>
      <c r="F20" s="1493"/>
      <c r="G20" s="1472"/>
      <c r="H20" s="1472"/>
      <c r="I20" s="1472"/>
      <c r="J20" s="1472"/>
      <c r="K20" s="1472"/>
      <c r="L20" s="1472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0"/>
      <c r="C21" s="1491"/>
      <c r="D21" s="1491"/>
      <c r="E21" s="1491"/>
      <c r="F21" s="1493"/>
      <c r="G21" s="1472"/>
      <c r="H21" s="1472"/>
      <c r="I21" s="1472"/>
      <c r="J21" s="1472"/>
      <c r="K21" s="1472"/>
      <c r="L21" s="1472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0"/>
      <c r="C22" s="1491"/>
      <c r="D22" s="1491"/>
      <c r="E22" s="1491"/>
      <c r="F22" s="1493"/>
      <c r="G22" s="1472"/>
      <c r="H22" s="1472"/>
      <c r="I22" s="1472"/>
      <c r="J22" s="1472"/>
      <c r="K22" s="1472"/>
      <c r="L22" s="1472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0"/>
      <c r="C23" s="1491"/>
      <c r="D23" s="1491"/>
      <c r="E23" s="1491"/>
      <c r="F23" s="1493"/>
      <c r="G23" s="1472"/>
      <c r="H23" s="1472"/>
      <c r="I23" s="1472"/>
      <c r="J23" s="1472"/>
      <c r="K23" s="1472"/>
      <c r="L23" s="1472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0"/>
      <c r="C24" s="1491"/>
      <c r="D24" s="1491"/>
      <c r="E24" s="1491"/>
      <c r="F24" s="1493"/>
      <c r="G24" s="1472"/>
      <c r="H24" s="1472"/>
      <c r="I24" s="1472"/>
      <c r="J24" s="1472"/>
      <c r="K24" s="1472"/>
      <c r="L24" s="1472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494"/>
      <c r="C25" s="1491"/>
      <c r="D25" s="1491"/>
      <c r="E25" s="1495"/>
      <c r="F25" s="1493"/>
      <c r="G25" s="1472"/>
      <c r="H25" s="1472"/>
      <c r="I25" s="1472"/>
      <c r="J25" s="1472"/>
      <c r="K25" s="1472"/>
      <c r="L25" s="1472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496"/>
      <c r="C26" s="844"/>
      <c r="D26" s="844"/>
      <c r="E26" s="844"/>
      <c r="F26" s="1473"/>
      <c r="G26" s="1473"/>
      <c r="H26" s="1473"/>
      <c r="I26" s="1473"/>
      <c r="J26" s="1473"/>
      <c r="K26" s="1473"/>
      <c r="L26" s="1473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H35" sqref="H35"/>
    </sheetView>
  </sheetViews>
  <sheetFormatPr defaultColWidth="9.140625" defaultRowHeight="15" customHeight="1"/>
  <cols>
    <col min="1" max="1" width="4.42578125" style="853" customWidth="1"/>
    <col min="2" max="2" width="27.28515625" style="853" customWidth="1"/>
    <col min="3" max="5" width="17.7109375" style="854" customWidth="1"/>
    <col min="6" max="7" width="17.7109375" style="853" customWidth="1"/>
    <col min="8" max="8" width="46.42578125" style="853" customWidth="1"/>
    <col min="9" max="9" width="14.7109375" style="853" customWidth="1"/>
    <col min="10" max="13" width="12.7109375" style="853" customWidth="1"/>
    <col min="14" max="17" width="9.140625" style="853"/>
    <col min="18" max="18" width="17" style="853" customWidth="1"/>
    <col min="19" max="19" width="14.28515625" style="853" customWidth="1"/>
    <col min="20" max="20" width="15.42578125" style="853" customWidth="1"/>
    <col min="21" max="21" width="13.85546875" style="853" customWidth="1"/>
    <col min="22" max="22" width="17.140625" style="853" customWidth="1"/>
    <col min="23" max="23" width="13" style="853" customWidth="1"/>
    <col min="24" max="24" width="14.140625" style="853" customWidth="1"/>
    <col min="25" max="25" width="17.7109375" style="853" customWidth="1"/>
    <col min="26" max="26" width="17" style="853" customWidth="1"/>
    <col min="27" max="27" width="14" style="853" customWidth="1"/>
    <col min="28" max="28" width="14.85546875" style="853" customWidth="1"/>
    <col min="29" max="16384" width="9.140625" style="853"/>
  </cols>
  <sheetData>
    <row r="1" spans="1:18" ht="14.45" customHeight="1"/>
    <row r="2" spans="1:18" ht="14.45" customHeight="1">
      <c r="B2" s="855" t="s">
        <v>1306</v>
      </c>
      <c r="C2" s="856"/>
      <c r="D2" s="856"/>
      <c r="E2" s="856"/>
      <c r="F2" s="857"/>
      <c r="G2" s="857"/>
      <c r="H2" s="858" t="s">
        <v>13</v>
      </c>
      <c r="I2" s="859">
        <f>Resultado!$D$6</f>
        <v>0</v>
      </c>
      <c r="J2" s="860"/>
      <c r="K2" s="860"/>
    </row>
    <row r="3" spans="1:18" ht="14.45" customHeight="1">
      <c r="B3" s="861"/>
      <c r="C3" s="862"/>
      <c r="D3" s="862"/>
      <c r="E3" s="862"/>
      <c r="H3" s="863" t="s">
        <v>14</v>
      </c>
      <c r="I3" s="864">
        <f>Resultado!$D$8</f>
        <v>0</v>
      </c>
      <c r="J3" s="860"/>
      <c r="K3" s="860"/>
    </row>
    <row r="4" spans="1:18" ht="14.45" customHeight="1">
      <c r="B4" s="860"/>
      <c r="C4" s="862"/>
      <c r="D4" s="862"/>
      <c r="E4" s="862"/>
      <c r="F4" s="865"/>
      <c r="G4" s="860"/>
      <c r="H4" s="860"/>
      <c r="I4" s="860"/>
      <c r="J4" s="860"/>
      <c r="K4" s="860"/>
    </row>
    <row r="5" spans="1:18" ht="15" customHeight="1">
      <c r="B5" s="860"/>
      <c r="C5" s="866"/>
      <c r="D5" s="862"/>
      <c r="E5" s="862"/>
      <c r="F5" s="865"/>
      <c r="G5" s="860"/>
      <c r="H5" s="860"/>
      <c r="I5" s="860"/>
      <c r="J5" s="860"/>
      <c r="K5" s="860"/>
      <c r="R5" s="1312" t="s">
        <v>874</v>
      </c>
    </row>
    <row r="6" spans="1:18" s="870" customFormat="1" ht="15" customHeight="1">
      <c r="A6" s="867"/>
      <c r="B6" s="868"/>
      <c r="C6" s="869"/>
      <c r="D6" s="869"/>
      <c r="E6" s="869"/>
      <c r="F6" s="868"/>
      <c r="G6" s="868"/>
      <c r="H6" s="868"/>
      <c r="I6" s="868"/>
      <c r="J6" s="868"/>
      <c r="K6" s="868"/>
      <c r="R6" s="888" t="e">
        <f>DATE(YEAR(R8),MONTH(R8)-1,1)</f>
        <v>#NUM!</v>
      </c>
    </row>
    <row r="7" spans="1:18" s="870" customFormat="1" ht="15" customHeight="1">
      <c r="A7" s="867"/>
      <c r="B7" s="871" t="s">
        <v>2133</v>
      </c>
      <c r="C7" s="869"/>
      <c r="D7" s="872"/>
      <c r="E7" s="872"/>
      <c r="F7" s="873"/>
      <c r="G7" s="868"/>
      <c r="H7" s="868"/>
      <c r="I7" s="868"/>
      <c r="J7" s="868"/>
      <c r="K7" s="868"/>
      <c r="R7" s="1312" t="s">
        <v>874</v>
      </c>
    </row>
    <row r="8" spans="1:18" ht="27.95" customHeight="1">
      <c r="B8" s="874" t="s">
        <v>778</v>
      </c>
      <c r="C8" s="874" t="s">
        <v>1307</v>
      </c>
      <c r="D8" s="874" t="s">
        <v>1308</v>
      </c>
      <c r="E8" s="1509"/>
      <c r="F8" s="860"/>
      <c r="G8" s="860"/>
      <c r="H8" s="860"/>
      <c r="I8" s="875"/>
      <c r="R8" s="888" t="e">
        <f>DATE(YEAR(R10),MONTH(R10)-1,1)</f>
        <v>#NUM!</v>
      </c>
    </row>
    <row r="9" spans="1:18" ht="14.45" customHeight="1">
      <c r="B9" s="1313" t="s">
        <v>1309</v>
      </c>
      <c r="C9" s="1314"/>
      <c r="D9" s="1314"/>
      <c r="E9" s="1516"/>
      <c r="F9" s="860"/>
      <c r="G9" s="436"/>
      <c r="H9" s="1315" t="s">
        <v>1310</v>
      </c>
      <c r="I9" s="1559"/>
      <c r="R9" s="1312" t="s">
        <v>874</v>
      </c>
    </row>
    <row r="10" spans="1:18" ht="14.45" customHeight="1">
      <c r="B10" s="876" t="s">
        <v>41</v>
      </c>
      <c r="C10" s="877"/>
      <c r="D10" s="877"/>
      <c r="E10" s="1516"/>
      <c r="F10" s="860"/>
      <c r="G10" s="436"/>
      <c r="H10" s="878" t="s">
        <v>1311</v>
      </c>
      <c r="I10" s="879">
        <f>Indexador!F173</f>
        <v>0</v>
      </c>
      <c r="R10" s="888" t="e">
        <f>DATE(YEAR(R12),MONTH(R12)-1,1)</f>
        <v>#NUM!</v>
      </c>
    </row>
    <row r="11" spans="1:18" ht="14.45" customHeight="1">
      <c r="B11" s="876" t="s">
        <v>1312</v>
      </c>
      <c r="C11" s="877"/>
      <c r="D11" s="877"/>
      <c r="E11" s="1516"/>
      <c r="F11" s="860"/>
      <c r="G11" s="860"/>
      <c r="H11" s="878" t="s">
        <v>1313</v>
      </c>
      <c r="I11" s="1558"/>
      <c r="R11" s="1312" t="s">
        <v>874</v>
      </c>
    </row>
    <row r="12" spans="1:18" ht="14.45" customHeight="1">
      <c r="B12" s="876" t="s">
        <v>635</v>
      </c>
      <c r="C12" s="877"/>
      <c r="D12" s="877"/>
      <c r="E12" s="1516"/>
      <c r="F12" s="860"/>
      <c r="G12" s="436"/>
      <c r="H12" s="878" t="s">
        <v>1314</v>
      </c>
      <c r="I12" s="1558"/>
      <c r="R12" s="888" t="e">
        <f>DATE(YEAR(R14),MONTH(R14)-1,1)</f>
        <v>#NUM!</v>
      </c>
    </row>
    <row r="13" spans="1:18" ht="14.45" customHeight="1">
      <c r="B13" s="876" t="s">
        <v>1315</v>
      </c>
      <c r="C13" s="877"/>
      <c r="D13" s="877"/>
      <c r="E13" s="1516"/>
      <c r="F13" s="860"/>
      <c r="G13" s="436"/>
      <c r="H13" s="878" t="s">
        <v>1316</v>
      </c>
      <c r="I13" s="1316"/>
      <c r="R13" s="1312" t="s">
        <v>874</v>
      </c>
    </row>
    <row r="14" spans="1:18" ht="14.45" customHeight="1">
      <c r="B14" s="876" t="s">
        <v>112</v>
      </c>
      <c r="C14" s="877"/>
      <c r="D14" s="877"/>
      <c r="E14" s="1516"/>
      <c r="F14" s="860"/>
      <c r="G14" s="436"/>
      <c r="H14" s="1315" t="s">
        <v>1317</v>
      </c>
      <c r="I14" s="1560">
        <v>0</v>
      </c>
      <c r="J14" s="860"/>
      <c r="K14" s="860"/>
      <c r="R14" s="888" t="e">
        <f>DATE(YEAR(R16),MONTH(R16)-1,1)</f>
        <v>#NUM!</v>
      </c>
    </row>
    <row r="15" spans="1:18" ht="14.45" customHeight="1">
      <c r="B15" s="876" t="s">
        <v>1318</v>
      </c>
      <c r="C15" s="877"/>
      <c r="D15" s="877"/>
      <c r="E15" s="1516"/>
      <c r="F15" s="860"/>
      <c r="G15" s="436"/>
      <c r="H15" s="1317" t="s">
        <v>1319</v>
      </c>
      <c r="I15" s="1318">
        <f>-Indexador!$N$49</f>
        <v>0</v>
      </c>
      <c r="J15" s="860"/>
      <c r="K15" s="860"/>
      <c r="R15" s="1312" t="s">
        <v>874</v>
      </c>
    </row>
    <row r="16" spans="1:18" ht="14.45" customHeight="1">
      <c r="B16" s="876" t="s">
        <v>109</v>
      </c>
      <c r="C16" s="877"/>
      <c r="D16" s="877"/>
      <c r="E16" s="1516"/>
      <c r="F16" s="861"/>
      <c r="G16" s="436"/>
      <c r="H16" s="860"/>
      <c r="I16" s="875"/>
      <c r="J16" s="860"/>
      <c r="K16" s="860"/>
      <c r="R16" s="888" t="e">
        <f>DATE(YEAR(R18),MONTH(R18)-1,1)</f>
        <v>#NUM!</v>
      </c>
    </row>
    <row r="17" spans="1:18" ht="14.45" customHeight="1">
      <c r="B17" s="876" t="s">
        <v>46</v>
      </c>
      <c r="C17" s="877"/>
      <c r="D17" s="877"/>
      <c r="E17" s="1516"/>
      <c r="F17" s="860"/>
      <c r="G17" s="436"/>
      <c r="H17" s="860"/>
      <c r="I17" s="860"/>
      <c r="J17" s="860"/>
      <c r="K17" s="860"/>
      <c r="R17" s="1312" t="s">
        <v>874</v>
      </c>
    </row>
    <row r="18" spans="1:18" ht="14.45" customHeight="1">
      <c r="B18" s="880" t="s">
        <v>769</v>
      </c>
      <c r="C18" s="881">
        <f>SUM(C9:C17)</f>
        <v>0</v>
      </c>
      <c r="D18" s="881">
        <f t="shared" ref="D18" si="0">SUM(D9:D17)</f>
        <v>0</v>
      </c>
      <c r="E18" s="1517"/>
      <c r="F18" s="860"/>
      <c r="G18" s="860"/>
      <c r="H18" s="860"/>
      <c r="I18" s="860"/>
      <c r="J18" s="860"/>
      <c r="K18" s="860"/>
      <c r="R18" s="888" t="e">
        <f>DATE(YEAR(R20),MONTH(R20)-1,1)</f>
        <v>#NUM!</v>
      </c>
    </row>
    <row r="19" spans="1:18" ht="14.45" hidden="1" customHeight="1">
      <c r="B19" s="860"/>
      <c r="C19" s="862"/>
      <c r="D19" s="862"/>
      <c r="E19" s="862"/>
      <c r="F19" s="860"/>
      <c r="G19" s="860"/>
      <c r="R19" s="1312" t="s">
        <v>874</v>
      </c>
    </row>
    <row r="20" spans="1:18" ht="14.45" customHeight="1">
      <c r="B20" s="860"/>
      <c r="C20" s="862"/>
      <c r="D20" s="862"/>
      <c r="E20" s="862"/>
      <c r="F20" s="860"/>
      <c r="G20" s="860"/>
      <c r="R20" s="888" t="e">
        <f>DATE(YEAR(R22),MONTH(R22)-1,1)</f>
        <v>#NUM!</v>
      </c>
    </row>
    <row r="21" spans="1:18" s="870" customFormat="1" ht="14.45" customHeight="1">
      <c r="A21" s="1501"/>
      <c r="B21" s="1502"/>
      <c r="C21" s="1503"/>
      <c r="D21" s="1503"/>
      <c r="E21" s="1503"/>
      <c r="F21" s="1502"/>
      <c r="G21" s="1502"/>
      <c r="H21" s="1504"/>
      <c r="R21" s="1312" t="s">
        <v>874</v>
      </c>
    </row>
    <row r="22" spans="1:18" ht="14.45" customHeight="1">
      <c r="A22" s="1505"/>
      <c r="B22" s="1506"/>
      <c r="C22" s="1507"/>
      <c r="D22" s="1507"/>
      <c r="E22" s="1507"/>
      <c r="F22" s="1508"/>
      <c r="G22" s="1508"/>
      <c r="H22" s="1505"/>
      <c r="R22" s="888" t="e">
        <f>DATE(YEAR(R24),MONTH(R24)-1,1)</f>
        <v>#NUM!</v>
      </c>
    </row>
    <row r="23" spans="1:18" ht="42" customHeight="1">
      <c r="A23" s="1505"/>
      <c r="B23" s="1509"/>
      <c r="C23" s="1509"/>
      <c r="D23" s="1509"/>
      <c r="E23" s="1509"/>
      <c r="F23" s="1509"/>
      <c r="G23" s="1509"/>
      <c r="H23" s="1505"/>
      <c r="R23" s="1312" t="s">
        <v>874</v>
      </c>
    </row>
    <row r="24" spans="1:18" ht="14.45" customHeight="1">
      <c r="A24" s="1505"/>
      <c r="B24" s="876"/>
      <c r="C24" s="883"/>
      <c r="D24" s="1497"/>
      <c r="E24" s="883"/>
      <c r="F24" s="884"/>
      <c r="G24" s="884"/>
      <c r="H24" s="1510"/>
      <c r="I24" s="882"/>
      <c r="J24" s="882"/>
      <c r="K24" s="890"/>
      <c r="R24" s="888" t="e">
        <f>DATE(YEAR(R26),MONTH(R26)-1,1)</f>
        <v>#NUM!</v>
      </c>
    </row>
    <row r="25" spans="1:18" ht="14.45" customHeight="1">
      <c r="A25" s="1505"/>
      <c r="B25" s="876"/>
      <c r="C25" s="883"/>
      <c r="D25" s="1498"/>
      <c r="E25" s="883"/>
      <c r="F25" s="884"/>
      <c r="G25" s="891"/>
      <c r="H25" s="1510"/>
      <c r="I25" s="882"/>
      <c r="J25" s="882"/>
      <c r="K25" s="875"/>
      <c r="R25" s="1312" t="s">
        <v>874</v>
      </c>
    </row>
    <row r="26" spans="1:18" ht="14.45" customHeight="1">
      <c r="A26" s="1505"/>
      <c r="B26" s="876"/>
      <c r="C26" s="883"/>
      <c r="D26" s="1498"/>
      <c r="E26" s="883"/>
      <c r="F26" s="884"/>
      <c r="G26" s="891"/>
      <c r="H26" s="1510"/>
      <c r="I26" s="882"/>
      <c r="J26" s="882"/>
      <c r="K26" s="875"/>
      <c r="R26" s="888" t="e">
        <f>DATE(YEAR(R28),MONTH(R28)-1,1)</f>
        <v>#NUM!</v>
      </c>
    </row>
    <row r="27" spans="1:18" ht="14.45" customHeight="1">
      <c r="A27" s="1505"/>
      <c r="B27" s="876"/>
      <c r="C27" s="883"/>
      <c r="D27" s="1498"/>
      <c r="E27" s="883"/>
      <c r="F27" s="884"/>
      <c r="G27" s="891"/>
      <c r="H27" s="1510"/>
      <c r="I27" s="884"/>
      <c r="J27" s="884"/>
      <c r="K27" s="875"/>
      <c r="R27" s="1312" t="s">
        <v>874</v>
      </c>
    </row>
    <row r="28" spans="1:18" ht="14.45" customHeight="1">
      <c r="A28" s="1505"/>
      <c r="B28" s="876"/>
      <c r="C28" s="883"/>
      <c r="D28" s="1498"/>
      <c r="E28" s="883"/>
      <c r="F28" s="884"/>
      <c r="G28" s="891"/>
      <c r="H28" s="1510"/>
      <c r="I28" s="884"/>
      <c r="J28" s="884"/>
      <c r="K28" s="875"/>
      <c r="R28" s="888">
        <f>B65</f>
        <v>0</v>
      </c>
    </row>
    <row r="29" spans="1:18" ht="14.45" customHeight="1">
      <c r="A29" s="1505"/>
      <c r="B29" s="876"/>
      <c r="C29" s="883"/>
      <c r="D29" s="1498"/>
      <c r="E29" s="883"/>
      <c r="F29" s="884"/>
      <c r="G29" s="891"/>
      <c r="H29" s="1510"/>
      <c r="I29" s="884"/>
      <c r="J29" s="884"/>
      <c r="K29" s="875"/>
    </row>
    <row r="30" spans="1:18" ht="14.45" customHeight="1">
      <c r="A30" s="1505"/>
      <c r="B30" s="876"/>
      <c r="C30" s="883"/>
      <c r="D30" s="1498"/>
      <c r="E30" s="883"/>
      <c r="F30" s="884"/>
      <c r="G30" s="891"/>
      <c r="H30" s="1508"/>
      <c r="I30" s="884"/>
      <c r="J30" s="884"/>
      <c r="K30" s="875"/>
    </row>
    <row r="31" spans="1:18" ht="14.45" customHeight="1">
      <c r="A31" s="1505"/>
      <c r="B31" s="876"/>
      <c r="C31" s="883"/>
      <c r="D31" s="1498"/>
      <c r="E31" s="883"/>
      <c r="F31" s="884"/>
      <c r="G31" s="891"/>
      <c r="H31" s="1505"/>
      <c r="I31" s="884"/>
      <c r="J31" s="884"/>
      <c r="K31" s="860"/>
    </row>
    <row r="32" spans="1:18" ht="14.45" customHeight="1">
      <c r="A32" s="1505"/>
      <c r="B32" s="876"/>
      <c r="C32" s="883"/>
      <c r="D32" s="1498"/>
      <c r="E32" s="883"/>
      <c r="F32" s="884"/>
      <c r="G32" s="891"/>
      <c r="H32" s="1505"/>
      <c r="I32" s="884"/>
      <c r="J32" s="884"/>
      <c r="K32" s="860"/>
    </row>
    <row r="33" spans="1:11" ht="14.45" customHeight="1">
      <c r="A33" s="1505"/>
      <c r="B33" s="1511"/>
      <c r="C33" s="1512"/>
      <c r="D33" s="1512"/>
      <c r="E33" s="1512"/>
      <c r="F33" s="1513"/>
      <c r="G33" s="1513"/>
      <c r="H33" s="1505"/>
      <c r="I33" s="889"/>
      <c r="J33" s="889"/>
      <c r="K33" s="860"/>
    </row>
    <row r="34" spans="1:11" ht="14.45" customHeight="1">
      <c r="A34" s="1505"/>
      <c r="B34" s="1508"/>
      <c r="C34" s="1514"/>
      <c r="D34" s="1507"/>
      <c r="E34" s="1507"/>
      <c r="F34" s="1508"/>
      <c r="G34" s="1508"/>
      <c r="H34" s="1505"/>
      <c r="K34" s="860"/>
    </row>
    <row r="35" spans="1:11" ht="14.45" customHeight="1">
      <c r="A35" s="1505"/>
      <c r="B35" s="1508"/>
      <c r="C35" s="1507"/>
      <c r="D35" s="1507"/>
      <c r="E35" s="1507"/>
      <c r="F35" s="436"/>
      <c r="G35" s="1508"/>
      <c r="H35" s="1505"/>
      <c r="K35" s="860"/>
    </row>
    <row r="36" spans="1:11" ht="14.45" customHeight="1">
      <c r="A36" s="1505"/>
      <c r="B36" s="1506"/>
      <c r="C36" s="1514"/>
      <c r="D36" s="1507"/>
      <c r="E36" s="1507"/>
      <c r="F36" s="1508"/>
      <c r="G36" s="1515"/>
      <c r="H36" s="1505"/>
      <c r="K36" s="860"/>
    </row>
    <row r="37" spans="1:11" ht="43.5" customHeight="1">
      <c r="A37" s="1505"/>
      <c r="B37" s="1509"/>
      <c r="C37" s="1509"/>
      <c r="D37" s="1509"/>
      <c r="E37" s="885"/>
      <c r="F37" s="436"/>
      <c r="G37" s="1508"/>
      <c r="H37" s="1508"/>
      <c r="I37" s="860"/>
      <c r="J37" s="860"/>
      <c r="K37" s="860"/>
    </row>
    <row r="38" spans="1:11" ht="14.45" customHeight="1">
      <c r="A38" s="1505"/>
      <c r="B38" s="876"/>
      <c r="C38" s="1507"/>
      <c r="D38" s="885"/>
      <c r="E38" s="885"/>
      <c r="F38" s="436"/>
      <c r="G38" s="1508"/>
      <c r="H38" s="1508"/>
      <c r="I38" s="860"/>
      <c r="J38" s="860"/>
      <c r="K38" s="860"/>
    </row>
    <row r="39" spans="1:11" ht="14.45" customHeight="1">
      <c r="A39" s="1505"/>
      <c r="B39" s="876"/>
      <c r="C39" s="1507"/>
      <c r="D39" s="1499"/>
      <c r="E39" s="885"/>
      <c r="F39" s="436"/>
      <c r="G39" s="436"/>
      <c r="H39" s="1508"/>
      <c r="I39" s="860"/>
      <c r="J39" s="860"/>
      <c r="K39" s="860"/>
    </row>
    <row r="40" spans="1:11" ht="14.45" customHeight="1">
      <c r="A40" s="1505"/>
      <c r="B40" s="876"/>
      <c r="C40" s="885"/>
      <c r="D40" s="1499"/>
      <c r="E40" s="885"/>
      <c r="F40" s="436"/>
      <c r="G40" s="1508"/>
      <c r="H40" s="1508"/>
      <c r="I40" s="860"/>
      <c r="J40" s="860"/>
      <c r="K40" s="860"/>
    </row>
    <row r="41" spans="1:11" ht="14.45" customHeight="1">
      <c r="A41" s="1505"/>
      <c r="B41" s="876"/>
      <c r="C41" s="885"/>
      <c r="D41" s="1499"/>
      <c r="E41" s="885"/>
      <c r="F41" s="436"/>
      <c r="G41" s="1508"/>
      <c r="H41" s="1508"/>
      <c r="I41" s="860"/>
      <c r="J41" s="860"/>
      <c r="K41" s="860"/>
    </row>
    <row r="42" spans="1:11" ht="14.45" customHeight="1">
      <c r="A42" s="1505"/>
      <c r="B42" s="876"/>
      <c r="C42" s="1500"/>
      <c r="D42" s="1499"/>
      <c r="E42" s="885"/>
      <c r="F42" s="436"/>
      <c r="G42" s="1508"/>
      <c r="H42" s="1508"/>
      <c r="I42" s="860"/>
      <c r="J42" s="860"/>
      <c r="K42" s="860"/>
    </row>
    <row r="43" spans="1:11" ht="14.45" customHeight="1">
      <c r="A43" s="1505"/>
      <c r="B43" s="876"/>
      <c r="C43" s="885"/>
      <c r="D43" s="885"/>
      <c r="E43" s="885"/>
      <c r="F43" s="436"/>
      <c r="G43" s="1508"/>
      <c r="H43" s="1508"/>
      <c r="I43" s="860"/>
      <c r="J43" s="860"/>
      <c r="K43" s="860"/>
    </row>
    <row r="44" spans="1:11" ht="14.45" customHeight="1">
      <c r="A44" s="1505"/>
      <c r="B44" s="876"/>
      <c r="C44" s="885"/>
      <c r="D44" s="885"/>
      <c r="E44" s="885"/>
      <c r="F44" s="436"/>
      <c r="G44" s="1508"/>
      <c r="H44" s="1508"/>
      <c r="I44" s="860"/>
      <c r="J44" s="860"/>
      <c r="K44" s="860"/>
    </row>
    <row r="45" spans="1:11" ht="14.45" customHeight="1">
      <c r="A45" s="1505"/>
      <c r="B45" s="876"/>
      <c r="C45" s="885"/>
      <c r="D45" s="885"/>
      <c r="E45" s="885"/>
      <c r="F45" s="436"/>
      <c r="G45" s="1508"/>
      <c r="H45" s="1508"/>
      <c r="I45" s="860"/>
      <c r="J45" s="860"/>
      <c r="K45" s="860"/>
    </row>
    <row r="46" spans="1:11" ht="14.45" customHeight="1">
      <c r="A46" s="1505"/>
      <c r="B46" s="876"/>
      <c r="C46" s="885"/>
      <c r="D46" s="885"/>
      <c r="E46" s="885"/>
      <c r="F46" s="436"/>
      <c r="G46" s="1508"/>
      <c r="H46" s="1508"/>
      <c r="I46" s="860"/>
      <c r="J46" s="860"/>
      <c r="K46" s="860"/>
    </row>
    <row r="47" spans="1:11" ht="14.45" customHeight="1">
      <c r="B47" s="436"/>
      <c r="C47" s="885"/>
      <c r="D47" s="885"/>
      <c r="E47" s="885"/>
      <c r="F47" s="436"/>
      <c r="G47" s="860"/>
      <c r="H47" s="860"/>
      <c r="I47" s="860"/>
      <c r="J47" s="860"/>
      <c r="K47" s="860"/>
    </row>
    <row r="48" spans="1:11" ht="14.45" customHeight="1">
      <c r="B48" s="65"/>
      <c r="C48" s="886"/>
      <c r="D48" s="886"/>
      <c r="E48" s="886"/>
      <c r="F48" s="65"/>
    </row>
    <row r="49" spans="2:30" ht="14.45" customHeight="1">
      <c r="B49" s="65"/>
      <c r="C49" s="886"/>
      <c r="D49" s="886"/>
      <c r="E49" s="886"/>
      <c r="F49" s="65"/>
    </row>
    <row r="50" spans="2:30" ht="14.45" customHeight="1"/>
    <row r="52" spans="2:30" ht="15" customHeight="1">
      <c r="B52" s="844"/>
      <c r="C52" s="844"/>
      <c r="D52" s="844"/>
      <c r="E52" s="844"/>
      <c r="F52" s="844"/>
      <c r="G52" s="844"/>
      <c r="H52" s="844"/>
      <c r="I52" s="844"/>
      <c r="J52" s="844"/>
      <c r="K52" s="887"/>
      <c r="L52" s="887"/>
      <c r="M52" s="887"/>
      <c r="N52" s="887"/>
      <c r="O52" s="887"/>
      <c r="P52" s="887"/>
      <c r="Q52" s="887"/>
      <c r="R52" s="887"/>
      <c r="S52" s="887"/>
      <c r="T52" s="887"/>
      <c r="U52" s="887"/>
      <c r="V52" s="887"/>
      <c r="W52" s="887"/>
      <c r="X52" s="887"/>
      <c r="Y52" s="887"/>
      <c r="Z52" s="887"/>
      <c r="AA52" s="887"/>
      <c r="AB52" s="887"/>
      <c r="AC52" s="1505"/>
      <c r="AD52" s="1505"/>
    </row>
    <row r="53" spans="2:30" ht="15" customHeight="1">
      <c r="B53" s="1562"/>
      <c r="C53" s="1562"/>
      <c r="D53" s="1562"/>
      <c r="E53" s="1562"/>
      <c r="F53" s="1562"/>
      <c r="G53" s="1562"/>
      <c r="H53" s="1562"/>
      <c r="I53" s="1562"/>
      <c r="J53" s="1562"/>
      <c r="K53" s="1562"/>
      <c r="L53" s="1562"/>
      <c r="M53" s="1562"/>
      <c r="N53" s="1562"/>
      <c r="O53" s="1562"/>
      <c r="P53" s="1562"/>
      <c r="Q53" s="1562"/>
      <c r="R53" s="1562"/>
      <c r="S53" s="1562"/>
      <c r="T53" s="1562"/>
      <c r="U53" s="1562"/>
      <c r="V53" s="1562"/>
      <c r="W53" s="1562"/>
      <c r="X53" s="1562"/>
      <c r="Y53" s="1562"/>
      <c r="Z53" s="1562"/>
      <c r="AA53" s="1562"/>
      <c r="AB53" s="1562"/>
      <c r="AC53" s="1505"/>
      <c r="AD53" s="1505"/>
    </row>
    <row r="54" spans="2:30" ht="15" customHeight="1">
      <c r="B54" s="1563"/>
      <c r="C54" s="1561"/>
      <c r="D54" s="884"/>
      <c r="E54" s="884"/>
      <c r="F54" s="884"/>
      <c r="G54" s="884"/>
      <c r="H54" s="884"/>
      <c r="I54" s="884"/>
      <c r="J54" s="884"/>
      <c r="K54" s="884"/>
      <c r="L54" s="884"/>
      <c r="M54" s="884"/>
      <c r="N54" s="884"/>
      <c r="O54" s="884"/>
      <c r="P54" s="884"/>
      <c r="Q54" s="884"/>
      <c r="R54" s="1564"/>
      <c r="S54" s="884"/>
      <c r="T54" s="884"/>
      <c r="U54" s="884"/>
      <c r="V54" s="884"/>
      <c r="W54" s="884"/>
      <c r="X54" s="884"/>
      <c r="Y54" s="884"/>
      <c r="Z54" s="884"/>
      <c r="AA54" s="884"/>
      <c r="AB54" s="884"/>
      <c r="AC54" s="1505"/>
      <c r="AD54" s="1505"/>
    </row>
    <row r="55" spans="2:30" ht="15" customHeight="1">
      <c r="B55" s="1563"/>
      <c r="C55" s="1561"/>
      <c r="D55" s="884"/>
      <c r="E55" s="884"/>
      <c r="F55" s="884"/>
      <c r="G55" s="884"/>
      <c r="H55" s="884"/>
      <c r="I55" s="884"/>
      <c r="J55" s="884"/>
      <c r="K55" s="884"/>
      <c r="L55" s="884"/>
      <c r="M55" s="884"/>
      <c r="N55" s="884"/>
      <c r="O55" s="884"/>
      <c r="P55" s="884"/>
      <c r="Q55" s="884"/>
      <c r="R55" s="1564"/>
      <c r="S55" s="884"/>
      <c r="T55" s="884"/>
      <c r="U55" s="884"/>
      <c r="V55" s="884"/>
      <c r="W55" s="884"/>
      <c r="X55" s="884"/>
      <c r="Y55" s="884"/>
      <c r="Z55" s="884"/>
      <c r="AA55" s="884"/>
      <c r="AB55" s="884"/>
      <c r="AC55" s="1505"/>
      <c r="AD55" s="1505"/>
    </row>
    <row r="56" spans="2:30" ht="15" customHeight="1">
      <c r="B56" s="1563"/>
      <c r="C56" s="1561"/>
      <c r="D56" s="884"/>
      <c r="E56" s="884"/>
      <c r="F56" s="884"/>
      <c r="G56" s="884"/>
      <c r="H56" s="884"/>
      <c r="I56" s="884"/>
      <c r="J56" s="884"/>
      <c r="K56" s="884"/>
      <c r="L56" s="884"/>
      <c r="M56" s="884"/>
      <c r="N56" s="884"/>
      <c r="O56" s="884"/>
      <c r="P56" s="884"/>
      <c r="Q56" s="884"/>
      <c r="R56" s="1564"/>
      <c r="S56" s="884"/>
      <c r="T56" s="884"/>
      <c r="U56" s="884"/>
      <c r="V56" s="884"/>
      <c r="W56" s="884"/>
      <c r="X56" s="884"/>
      <c r="Y56" s="884"/>
      <c r="Z56" s="884"/>
      <c r="AA56" s="884"/>
      <c r="AB56" s="884"/>
      <c r="AC56" s="1505"/>
      <c r="AD56" s="1505"/>
    </row>
    <row r="57" spans="2:30" ht="15" customHeight="1">
      <c r="B57" s="1563"/>
      <c r="C57" s="1561"/>
      <c r="D57" s="884"/>
      <c r="E57" s="884"/>
      <c r="F57" s="884"/>
      <c r="G57" s="884"/>
      <c r="H57" s="884"/>
      <c r="I57" s="884"/>
      <c r="J57" s="884"/>
      <c r="K57" s="884"/>
      <c r="L57" s="884"/>
      <c r="M57" s="884"/>
      <c r="N57" s="884"/>
      <c r="O57" s="884"/>
      <c r="P57" s="884"/>
      <c r="Q57" s="884"/>
      <c r="R57" s="1564"/>
      <c r="S57" s="884"/>
      <c r="T57" s="884"/>
      <c r="U57" s="884"/>
      <c r="V57" s="884"/>
      <c r="W57" s="884"/>
      <c r="X57" s="884"/>
      <c r="Y57" s="884"/>
      <c r="Z57" s="884"/>
      <c r="AA57" s="884"/>
      <c r="AB57" s="884"/>
      <c r="AC57" s="1505"/>
      <c r="AD57" s="1505"/>
    </row>
    <row r="58" spans="2:30" ht="15" customHeight="1">
      <c r="B58" s="1563"/>
      <c r="C58" s="1561"/>
      <c r="D58" s="884"/>
      <c r="E58" s="884"/>
      <c r="F58" s="884"/>
      <c r="G58" s="884"/>
      <c r="H58" s="884"/>
      <c r="I58" s="884"/>
      <c r="J58" s="884"/>
      <c r="K58" s="884"/>
      <c r="L58" s="884"/>
      <c r="M58" s="884"/>
      <c r="N58" s="884"/>
      <c r="O58" s="884"/>
      <c r="P58" s="884"/>
      <c r="Q58" s="884"/>
      <c r="R58" s="1564"/>
      <c r="S58" s="884"/>
      <c r="T58" s="884"/>
      <c r="U58" s="884"/>
      <c r="V58" s="884"/>
      <c r="W58" s="884"/>
      <c r="X58" s="884"/>
      <c r="Y58" s="884"/>
      <c r="Z58" s="884"/>
      <c r="AA58" s="884"/>
      <c r="AB58" s="884"/>
      <c r="AC58" s="1505"/>
      <c r="AD58" s="1505"/>
    </row>
    <row r="59" spans="2:30" ht="15" customHeight="1">
      <c r="B59" s="1563"/>
      <c r="C59" s="1561"/>
      <c r="D59" s="884"/>
      <c r="E59" s="884"/>
      <c r="F59" s="884"/>
      <c r="G59" s="884"/>
      <c r="H59" s="884"/>
      <c r="I59" s="884"/>
      <c r="J59" s="884"/>
      <c r="K59" s="884"/>
      <c r="L59" s="884"/>
      <c r="M59" s="884"/>
      <c r="N59" s="884"/>
      <c r="O59" s="884"/>
      <c r="P59" s="884"/>
      <c r="Q59" s="884"/>
      <c r="R59" s="1564"/>
      <c r="S59" s="884"/>
      <c r="T59" s="884"/>
      <c r="U59" s="884"/>
      <c r="V59" s="884"/>
      <c r="W59" s="884"/>
      <c r="X59" s="884"/>
      <c r="Y59" s="884"/>
      <c r="Z59" s="884"/>
      <c r="AA59" s="884"/>
      <c r="AB59" s="884"/>
      <c r="AC59" s="1505"/>
      <c r="AD59" s="1505"/>
    </row>
    <row r="60" spans="2:30" ht="15" customHeight="1">
      <c r="B60" s="1563"/>
      <c r="C60" s="1561"/>
      <c r="D60" s="884"/>
      <c r="E60" s="884"/>
      <c r="F60" s="884"/>
      <c r="G60" s="884"/>
      <c r="H60" s="884"/>
      <c r="I60" s="884"/>
      <c r="J60" s="884"/>
      <c r="K60" s="884"/>
      <c r="L60" s="884"/>
      <c r="M60" s="884"/>
      <c r="N60" s="884"/>
      <c r="O60" s="884"/>
      <c r="P60" s="884"/>
      <c r="Q60" s="884"/>
      <c r="R60" s="1564"/>
      <c r="S60" s="884"/>
      <c r="T60" s="884"/>
      <c r="U60" s="884"/>
      <c r="V60" s="884"/>
      <c r="W60" s="884"/>
      <c r="X60" s="884"/>
      <c r="Y60" s="884"/>
      <c r="Z60" s="884"/>
      <c r="AA60" s="884"/>
      <c r="AB60" s="884"/>
      <c r="AC60" s="1505"/>
      <c r="AD60" s="1505"/>
    </row>
    <row r="61" spans="2:30" ht="15" customHeight="1">
      <c r="B61" s="1563"/>
      <c r="C61" s="1561"/>
      <c r="D61" s="884"/>
      <c r="E61" s="884"/>
      <c r="F61" s="884"/>
      <c r="G61" s="884"/>
      <c r="H61" s="884"/>
      <c r="I61" s="884"/>
      <c r="J61" s="884"/>
      <c r="K61" s="884"/>
      <c r="L61" s="884"/>
      <c r="M61" s="884"/>
      <c r="N61" s="884"/>
      <c r="O61" s="884"/>
      <c r="P61" s="884"/>
      <c r="Q61" s="884"/>
      <c r="R61" s="1564"/>
      <c r="S61" s="884"/>
      <c r="T61" s="884"/>
      <c r="U61" s="884"/>
      <c r="V61" s="884"/>
      <c r="W61" s="884"/>
      <c r="X61" s="884"/>
      <c r="Y61" s="884"/>
      <c r="Z61" s="884"/>
      <c r="AA61" s="884"/>
      <c r="AB61" s="884"/>
      <c r="AC61" s="1505"/>
      <c r="AD61" s="1505"/>
    </row>
    <row r="62" spans="2:30" ht="15" customHeight="1">
      <c r="B62" s="1563"/>
      <c r="C62" s="1561"/>
      <c r="D62" s="884"/>
      <c r="E62" s="884"/>
      <c r="F62" s="884"/>
      <c r="G62" s="884"/>
      <c r="H62" s="884"/>
      <c r="I62" s="884"/>
      <c r="J62" s="884"/>
      <c r="K62" s="884"/>
      <c r="L62" s="884"/>
      <c r="M62" s="884"/>
      <c r="N62" s="884"/>
      <c r="O62" s="884"/>
      <c r="P62" s="884"/>
      <c r="Q62" s="884"/>
      <c r="R62" s="1564"/>
      <c r="S62" s="884"/>
      <c r="T62" s="884"/>
      <c r="U62" s="884"/>
      <c r="V62" s="884"/>
      <c r="W62" s="884"/>
      <c r="X62" s="884"/>
      <c r="Y62" s="884"/>
      <c r="Z62" s="884"/>
      <c r="AA62" s="884"/>
      <c r="AB62" s="884"/>
      <c r="AC62" s="1505"/>
      <c r="AD62" s="1505"/>
    </row>
    <row r="63" spans="2:30" ht="15" customHeight="1">
      <c r="B63" s="1563"/>
      <c r="C63" s="1561"/>
      <c r="D63" s="884"/>
      <c r="E63" s="884"/>
      <c r="F63" s="884"/>
      <c r="G63" s="884"/>
      <c r="H63" s="884"/>
      <c r="I63" s="884"/>
      <c r="J63" s="884"/>
      <c r="K63" s="884"/>
      <c r="L63" s="884"/>
      <c r="M63" s="884"/>
      <c r="N63" s="884"/>
      <c r="O63" s="884"/>
      <c r="P63" s="884"/>
      <c r="Q63" s="884"/>
      <c r="R63" s="1564"/>
      <c r="S63" s="884"/>
      <c r="T63" s="884"/>
      <c r="U63" s="884"/>
      <c r="V63" s="884"/>
      <c r="W63" s="884"/>
      <c r="X63" s="884"/>
      <c r="Y63" s="884"/>
      <c r="Z63" s="884"/>
      <c r="AA63" s="884"/>
      <c r="AB63" s="884"/>
      <c r="AC63" s="1505"/>
      <c r="AD63" s="1505"/>
    </row>
    <row r="64" spans="2:30" ht="15" customHeight="1">
      <c r="B64" s="1563"/>
      <c r="C64" s="1561"/>
      <c r="D64" s="884"/>
      <c r="E64" s="884"/>
      <c r="F64" s="884"/>
      <c r="G64" s="884"/>
      <c r="H64" s="884"/>
      <c r="I64" s="884"/>
      <c r="J64" s="884"/>
      <c r="K64" s="884"/>
      <c r="L64" s="884"/>
      <c r="M64" s="884"/>
      <c r="N64" s="884"/>
      <c r="O64" s="884"/>
      <c r="P64" s="884"/>
      <c r="Q64" s="884"/>
      <c r="R64" s="1564"/>
      <c r="S64" s="884"/>
      <c r="T64" s="884"/>
      <c r="U64" s="884"/>
      <c r="V64" s="884"/>
      <c r="W64" s="884"/>
      <c r="X64" s="884"/>
      <c r="Y64" s="884"/>
      <c r="Z64" s="884"/>
      <c r="AA64" s="884"/>
      <c r="AB64" s="884"/>
      <c r="AC64" s="1505"/>
      <c r="AD64" s="1505"/>
    </row>
    <row r="65" spans="2:30" ht="15" customHeight="1">
      <c r="B65" s="1563"/>
      <c r="C65" s="1561"/>
      <c r="D65" s="884"/>
      <c r="E65" s="884"/>
      <c r="F65" s="884"/>
      <c r="G65" s="884"/>
      <c r="H65" s="884"/>
      <c r="I65" s="884"/>
      <c r="J65" s="884"/>
      <c r="K65" s="884"/>
      <c r="L65" s="884"/>
      <c r="M65" s="884"/>
      <c r="N65" s="884"/>
      <c r="O65" s="884"/>
      <c r="P65" s="884"/>
      <c r="Q65" s="884"/>
      <c r="R65" s="1564"/>
      <c r="S65" s="884"/>
      <c r="T65" s="884"/>
      <c r="U65" s="884"/>
      <c r="V65" s="884"/>
      <c r="W65" s="884"/>
      <c r="X65" s="884"/>
      <c r="Y65" s="884"/>
      <c r="Z65" s="884"/>
      <c r="AA65" s="884"/>
      <c r="AB65" s="884"/>
      <c r="AC65" s="1505"/>
      <c r="AD65" s="1505"/>
    </row>
    <row r="66" spans="2:30" ht="15" customHeight="1">
      <c r="B66" s="1453"/>
      <c r="C66" s="1565"/>
      <c r="D66" s="884"/>
      <c r="E66" s="884"/>
      <c r="F66" s="884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1505"/>
      <c r="AD66" s="1505"/>
    </row>
    <row r="67" spans="2:30" ht="15" customHeight="1">
      <c r="B67" s="1566"/>
      <c r="C67" s="1566"/>
      <c r="D67" s="1513"/>
      <c r="E67" s="1513"/>
      <c r="F67" s="1513"/>
      <c r="G67" s="1513"/>
      <c r="H67" s="1513"/>
      <c r="I67" s="1513"/>
      <c r="J67" s="1513"/>
      <c r="K67" s="1513"/>
      <c r="L67" s="1513"/>
      <c r="M67" s="1513"/>
      <c r="N67" s="1513"/>
      <c r="O67" s="1513"/>
      <c r="P67" s="1513"/>
      <c r="Q67" s="1513"/>
      <c r="R67" s="1513"/>
      <c r="S67" s="1513"/>
      <c r="T67" s="1513"/>
      <c r="U67" s="1513"/>
      <c r="V67" s="1513"/>
      <c r="W67" s="1513"/>
      <c r="X67" s="1513"/>
      <c r="Y67" s="1513"/>
      <c r="Z67" s="1513"/>
      <c r="AA67" s="1513"/>
      <c r="AB67" s="1513"/>
      <c r="AC67" s="1505"/>
      <c r="AD67" s="1505"/>
    </row>
    <row r="68" spans="2:30" ht="15" customHeight="1">
      <c r="B68" s="1505"/>
      <c r="C68" s="1567"/>
      <c r="D68" s="1567"/>
      <c r="E68" s="1567"/>
      <c r="F68" s="1505"/>
      <c r="G68" s="1505"/>
      <c r="H68" s="1505"/>
      <c r="I68" s="1505"/>
      <c r="J68" s="1505"/>
      <c r="K68" s="1505"/>
      <c r="L68" s="1505"/>
      <c r="M68" s="1505"/>
      <c r="N68" s="1505"/>
      <c r="O68" s="1505"/>
      <c r="P68" s="1505"/>
      <c r="Q68" s="1505"/>
      <c r="R68" s="1505"/>
      <c r="S68" s="1505"/>
      <c r="T68" s="1505"/>
      <c r="U68" s="1505"/>
      <c r="V68" s="1505"/>
      <c r="W68" s="1505"/>
      <c r="X68" s="1505"/>
      <c r="Y68" s="1505"/>
      <c r="Z68" s="1505"/>
      <c r="AA68" s="1505"/>
      <c r="AB68" s="1505"/>
      <c r="AC68" s="1505"/>
      <c r="AD68" s="1505"/>
    </row>
    <row r="69" spans="2:30" ht="15" customHeight="1">
      <c r="B69" s="1505"/>
      <c r="C69" s="1567"/>
      <c r="D69" s="1567"/>
      <c r="E69" s="1567"/>
      <c r="F69" s="1505"/>
      <c r="G69" s="1505"/>
      <c r="H69" s="1505"/>
      <c r="I69" s="1505"/>
      <c r="J69" s="1505"/>
      <c r="K69" s="1505"/>
      <c r="L69" s="1505"/>
      <c r="M69" s="1505"/>
      <c r="N69" s="1505"/>
      <c r="O69" s="1505"/>
      <c r="P69" s="1505"/>
      <c r="Q69" s="1505"/>
      <c r="R69" s="1505"/>
      <c r="S69" s="1505"/>
      <c r="T69" s="1505"/>
      <c r="U69" s="1505"/>
      <c r="V69" s="1505"/>
      <c r="W69" s="1505"/>
      <c r="X69" s="1505"/>
      <c r="Y69" s="1505"/>
      <c r="Z69" s="1505"/>
      <c r="AA69" s="1505"/>
      <c r="AB69" s="1505"/>
      <c r="AC69" s="1505"/>
      <c r="AD69" s="1505"/>
    </row>
    <row r="71" spans="2:30" ht="15" customHeight="1">
      <c r="H71" s="892"/>
      <c r="J71" s="892"/>
    </row>
    <row r="72" spans="2:30" ht="15" customHeight="1">
      <c r="H72" s="892"/>
      <c r="J72" s="892"/>
    </row>
    <row r="73" spans="2:30" ht="15" customHeight="1">
      <c r="H73" s="892"/>
      <c r="J73" s="892"/>
    </row>
    <row r="74" spans="2:30" ht="15" customHeight="1">
      <c r="H74" s="892"/>
      <c r="J74" s="892"/>
    </row>
    <row r="75" spans="2:30" ht="15" customHeight="1">
      <c r="H75" s="892"/>
      <c r="J75" s="892"/>
    </row>
    <row r="76" spans="2:30" ht="15" customHeight="1">
      <c r="H76" s="892"/>
      <c r="J76" s="892"/>
    </row>
    <row r="77" spans="2:30" ht="15" customHeight="1">
      <c r="H77" s="892"/>
      <c r="J77" s="892"/>
    </row>
    <row r="78" spans="2:30" ht="15" customHeight="1">
      <c r="H78" s="892"/>
      <c r="J78" s="892"/>
    </row>
    <row r="79" spans="2:30" ht="15" customHeight="1">
      <c r="H79" s="892"/>
      <c r="J79" s="892"/>
    </row>
    <row r="80" spans="2:30" ht="15" customHeight="1">
      <c r="H80" s="892"/>
      <c r="J80" s="892"/>
    </row>
    <row r="81" spans="8:10" ht="15" customHeight="1">
      <c r="H81" s="892"/>
      <c r="J81" s="892"/>
    </row>
    <row r="82" spans="8:10" ht="15" customHeight="1">
      <c r="H82" s="892"/>
      <c r="J82" s="892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F18" sqref="F18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1322</v>
      </c>
      <c r="B3" s="65"/>
      <c r="C3" s="65"/>
      <c r="D3" s="65"/>
      <c r="E3" s="65"/>
      <c r="F3" s="665"/>
      <c r="G3" s="353"/>
      <c r="H3" s="353"/>
      <c r="I3" s="667" t="s">
        <v>1323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0" t="s">
        <v>22</v>
      </c>
      <c r="B4" s="1321"/>
      <c r="C4" s="669" t="s">
        <v>850</v>
      </c>
      <c r="D4" s="669" t="s">
        <v>1324</v>
      </c>
      <c r="E4" s="669" t="s">
        <v>1325</v>
      </c>
      <c r="F4" s="669" t="s">
        <v>8</v>
      </c>
      <c r="G4" s="670" t="s">
        <v>1326</v>
      </c>
      <c r="H4" s="353"/>
      <c r="I4" s="1320" t="s">
        <v>22</v>
      </c>
      <c r="J4" s="1320"/>
      <c r="K4" s="1320"/>
      <c r="L4" s="669" t="s">
        <v>1325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2" t="s">
        <v>697</v>
      </c>
      <c r="B5" s="1323"/>
      <c r="C5" s="1324">
        <f>SUMPRODUCT(C16:Q16,$C$22:$Q$22)</f>
        <v>0</v>
      </c>
      <c r="D5" s="674">
        <f>SUMPRODUCT(C28:Q28,$C$34:$Q$34)</f>
        <v>0</v>
      </c>
      <c r="E5" s="1325">
        <f>C5-D5</f>
        <v>0</v>
      </c>
      <c r="F5" s="1326">
        <f>Resultado!M9</f>
        <v>0</v>
      </c>
      <c r="G5" s="671">
        <f>F5+E5</f>
        <v>0</v>
      </c>
      <c r="H5" s="353"/>
      <c r="I5" s="1322" t="s">
        <v>697</v>
      </c>
      <c r="J5" s="1322"/>
      <c r="K5" s="1322"/>
      <c r="L5" s="1326">
        <f t="shared" ref="L5:N10" si="0">E5/12</f>
        <v>0</v>
      </c>
      <c r="M5" s="1326">
        <f t="shared" si="0"/>
        <v>0</v>
      </c>
      <c r="N5" s="1324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2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699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701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2"/>
      <c r="C8" s="673">
        <f t="shared" si="1"/>
        <v>286.55956588180339</v>
      </c>
      <c r="D8" s="674">
        <f t="shared" si="2"/>
        <v>325.84084548435123</v>
      </c>
      <c r="E8" s="692">
        <f t="shared" si="3"/>
        <v>-39.281279602547841</v>
      </c>
      <c r="F8" s="674">
        <f>Resultado!M12</f>
        <v>117.99366350992591</v>
      </c>
      <c r="G8" s="671">
        <f t="shared" si="4"/>
        <v>78.712383907378069</v>
      </c>
      <c r="H8" s="353"/>
      <c r="I8" s="65" t="s">
        <v>702</v>
      </c>
      <c r="J8" s="65"/>
      <c r="K8" s="65"/>
      <c r="L8" s="674">
        <f t="shared" si="0"/>
        <v>-3.2734399668789869</v>
      </c>
      <c r="M8" s="674">
        <f t="shared" si="0"/>
        <v>9.8328052924938252</v>
      </c>
      <c r="N8" s="673">
        <f t="shared" si="0"/>
        <v>6.5593653256148388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2"/>
      <c r="C9" s="673">
        <f t="shared" si="1"/>
        <v>442239.94634300645</v>
      </c>
      <c r="D9" s="674">
        <f t="shared" si="2"/>
        <v>464974.76113454741</v>
      </c>
      <c r="E9" s="692">
        <f>C9-D9</f>
        <v>-22734.814791540965</v>
      </c>
      <c r="F9" s="674">
        <f>Resultado!M13</f>
        <v>183397.14972391695</v>
      </c>
      <c r="G9" s="671">
        <f t="shared" si="4"/>
        <v>160662.33493237599</v>
      </c>
      <c r="H9" s="353"/>
      <c r="I9" s="65" t="s">
        <v>705</v>
      </c>
      <c r="J9" s="65"/>
      <c r="K9" s="65"/>
      <c r="L9" s="674">
        <f t="shared" si="0"/>
        <v>-1894.5678992950805</v>
      </c>
      <c r="M9" s="674">
        <f t="shared" si="0"/>
        <v>15283.095810326413</v>
      </c>
      <c r="N9" s="673">
        <f t="shared" si="0"/>
        <v>13388.527911031333</v>
      </c>
      <c r="P9" s="353"/>
      <c r="Q9" s="353"/>
      <c r="R9" s="9"/>
      <c r="S9" s="9"/>
      <c r="T9" s="9"/>
      <c r="U9" s="9"/>
      <c r="V9" s="9"/>
    </row>
    <row r="10" spans="1:22">
      <c r="A10" s="1063" t="s">
        <v>707</v>
      </c>
      <c r="B10" s="675"/>
      <c r="C10" s="673">
        <f t="shared" si="1"/>
        <v>20.817178782303856</v>
      </c>
      <c r="D10" s="674">
        <f t="shared" si="2"/>
        <v>105.56290569366057</v>
      </c>
      <c r="E10" s="1327">
        <f t="shared" si="3"/>
        <v>-84.745726911356712</v>
      </c>
      <c r="F10" s="1328">
        <f>Resultado!M14</f>
        <v>15.969211555959067</v>
      </c>
      <c r="G10" s="671">
        <f t="shared" si="4"/>
        <v>-68.776515355397649</v>
      </c>
      <c r="H10" s="353"/>
      <c r="I10" s="1063" t="s">
        <v>707</v>
      </c>
      <c r="J10" s="1063"/>
      <c r="K10" s="1063"/>
      <c r="L10" s="1328">
        <f t="shared" si="0"/>
        <v>-7.062143909279726</v>
      </c>
      <c r="M10" s="1328">
        <f t="shared" si="0"/>
        <v>1.3307676296632556</v>
      </c>
      <c r="N10" s="676">
        <f t="shared" si="0"/>
        <v>-5.7313762796164704</v>
      </c>
      <c r="P10" s="353"/>
      <c r="Q10" s="353"/>
      <c r="R10" s="9"/>
      <c r="S10" s="9"/>
      <c r="T10" s="9"/>
      <c r="U10" s="9"/>
      <c r="V10" s="9"/>
    </row>
    <row r="11" spans="1:22">
      <c r="A11" s="1329" t="s">
        <v>769</v>
      </c>
      <c r="B11" s="1329"/>
      <c r="C11" s="1330">
        <f>SUM(C5:C10)</f>
        <v>442547.32308767055</v>
      </c>
      <c r="D11" s="1330">
        <f>SUM(D5:D10)</f>
        <v>465406.16488572542</v>
      </c>
      <c r="E11" s="1330">
        <f t="shared" ref="E11" si="5">SUM(E5:E10)</f>
        <v>-22858.841798054869</v>
      </c>
      <c r="F11" s="1330">
        <f>SUM(F5:F10)</f>
        <v>183531.11259898284</v>
      </c>
      <c r="G11" s="1331">
        <f>SUM(G5:G10)</f>
        <v>160672.27080092797</v>
      </c>
      <c r="H11" s="353"/>
      <c r="I11" s="1329" t="s">
        <v>769</v>
      </c>
      <c r="J11" s="1329"/>
      <c r="K11" s="1329"/>
      <c r="L11" s="1330">
        <f>SUM(L5:L10)</f>
        <v>-1904.9034831712393</v>
      </c>
      <c r="M11" s="1330">
        <f>SUM(M5:M10)</f>
        <v>15294.259383248569</v>
      </c>
      <c r="N11" s="1331">
        <f>SUM(N5:N10)</f>
        <v>13389.355900077331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1327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57" t="s">
        <v>22</v>
      </c>
      <c r="B14" s="1858" t="s">
        <v>1328</v>
      </c>
      <c r="C14" s="353"/>
      <c r="D14" s="353"/>
      <c r="E14" s="353"/>
      <c r="F14" s="677" t="s">
        <v>874</v>
      </c>
      <c r="G14" s="677" t="s">
        <v>874</v>
      </c>
      <c r="H14" s="677" t="s">
        <v>874</v>
      </c>
      <c r="I14" s="677" t="s">
        <v>874</v>
      </c>
      <c r="J14" s="677" t="s">
        <v>874</v>
      </c>
      <c r="K14" s="677" t="s">
        <v>874</v>
      </c>
      <c r="L14" s="677" t="s">
        <v>874</v>
      </c>
      <c r="M14" s="677" t="s">
        <v>874</v>
      </c>
      <c r="N14" s="677" t="s">
        <v>874</v>
      </c>
      <c r="O14" s="677" t="s">
        <v>874</v>
      </c>
      <c r="P14" s="677" t="s">
        <v>874</v>
      </c>
      <c r="Q14" s="677" t="s">
        <v>874</v>
      </c>
      <c r="R14" s="9"/>
      <c r="S14" s="9"/>
      <c r="T14" s="9"/>
      <c r="U14" s="9"/>
      <c r="V14" s="9"/>
    </row>
    <row r="15" spans="1:22">
      <c r="A15" s="1857"/>
      <c r="B15" s="1858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1329</v>
      </c>
      <c r="B16" s="681" t="s">
        <v>926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0</v>
      </c>
      <c r="L16" s="682">
        <f t="shared" si="8"/>
        <v>0</v>
      </c>
      <c r="M16" s="682">
        <f t="shared" si="8"/>
        <v>0</v>
      </c>
      <c r="N16" s="682">
        <f t="shared" si="8"/>
        <v>0</v>
      </c>
      <c r="O16" s="682">
        <f t="shared" si="8"/>
        <v>0</v>
      </c>
      <c r="P16" s="682">
        <f t="shared" si="8"/>
        <v>0</v>
      </c>
      <c r="Q16" s="682">
        <f t="shared" si="8"/>
        <v>0</v>
      </c>
      <c r="R16" s="9"/>
      <c r="S16" s="9"/>
      <c r="T16" s="9"/>
      <c r="U16" s="9"/>
      <c r="V16" s="9"/>
    </row>
    <row r="17" spans="1:22">
      <c r="A17" s="680" t="s">
        <v>1330</v>
      </c>
      <c r="B17" s="681" t="s">
        <v>927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1331</v>
      </c>
      <c r="B18" s="681" t="s">
        <v>928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1332</v>
      </c>
      <c r="B19" s="681" t="s">
        <v>929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29.442351000000055</v>
      </c>
      <c r="G19" s="682">
        <f t="shared" si="8"/>
        <v>25.388961000000023</v>
      </c>
      <c r="H19" s="682">
        <f t="shared" si="8"/>
        <v>30.879461999999993</v>
      </c>
      <c r="I19" s="682">
        <f t="shared" si="8"/>
        <v>29.000163000000022</v>
      </c>
      <c r="J19" s="682">
        <f t="shared" si="8"/>
        <v>29.552898000000031</v>
      </c>
      <c r="K19" s="682">
        <f t="shared" si="8"/>
        <v>26.199639000000019</v>
      </c>
      <c r="L19" s="682">
        <f t="shared" si="8"/>
        <v>23.325417000000009</v>
      </c>
      <c r="M19" s="682">
        <f t="shared" si="8"/>
        <v>11.386341000000002</v>
      </c>
      <c r="N19" s="682">
        <f t="shared" si="8"/>
        <v>11.754830999999994</v>
      </c>
      <c r="O19" s="682">
        <f t="shared" si="8"/>
        <v>12.012774000000013</v>
      </c>
      <c r="P19" s="682">
        <f t="shared" si="8"/>
        <v>23.657057999999999</v>
      </c>
      <c r="Q19" s="682">
        <f t="shared" si="8"/>
        <v>19.235178000000008</v>
      </c>
      <c r="R19" s="9"/>
      <c r="S19" s="9"/>
      <c r="T19" s="9"/>
      <c r="U19" s="9"/>
      <c r="V19" s="9"/>
    </row>
    <row r="20" spans="1:22">
      <c r="A20" s="680" t="s">
        <v>1333</v>
      </c>
      <c r="B20" s="681" t="s">
        <v>930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33343.169499999996</v>
      </c>
      <c r="G20" s="682">
        <f t="shared" si="8"/>
        <v>33998.999899999988</v>
      </c>
      <c r="H20" s="682">
        <f t="shared" si="8"/>
        <v>40884.412649999998</v>
      </c>
      <c r="I20" s="682">
        <f t="shared" si="8"/>
        <v>36450.360699999983</v>
      </c>
      <c r="J20" s="682">
        <f t="shared" si="8"/>
        <v>42113.689799999993</v>
      </c>
      <c r="K20" s="682">
        <f t="shared" si="8"/>
        <v>34875.552049999991</v>
      </c>
      <c r="L20" s="682">
        <f t="shared" si="8"/>
        <v>35456.184949999995</v>
      </c>
      <c r="M20" s="682">
        <f t="shared" si="8"/>
        <v>32676.061399999999</v>
      </c>
      <c r="N20" s="682">
        <f t="shared" si="8"/>
        <v>33501.181499999992</v>
      </c>
      <c r="O20" s="682">
        <f t="shared" si="8"/>
        <v>32195.550199999991</v>
      </c>
      <c r="P20" s="682">
        <f t="shared" si="8"/>
        <v>32828.485799999995</v>
      </c>
      <c r="Q20" s="682">
        <f t="shared" si="8"/>
        <v>34210.729299999992</v>
      </c>
      <c r="R20" s="9"/>
      <c r="S20" s="9"/>
      <c r="T20" s="9"/>
      <c r="U20" s="9"/>
      <c r="V20" s="9"/>
    </row>
    <row r="21" spans="1:22">
      <c r="A21" s="680" t="s">
        <v>1334</v>
      </c>
      <c r="B21" s="681" t="s">
        <v>931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2.4169800000000001</v>
      </c>
      <c r="G21" s="682">
        <f t="shared" si="8"/>
        <v>6.0424499999999988</v>
      </c>
      <c r="H21" s="682">
        <f t="shared" si="8"/>
        <v>6.0424499999999988</v>
      </c>
      <c r="I21" s="682">
        <f t="shared" si="8"/>
        <v>0</v>
      </c>
      <c r="J21" s="682">
        <f t="shared" si="8"/>
        <v>0</v>
      </c>
      <c r="K21" s="682">
        <f t="shared" si="8"/>
        <v>2.0141499999999999</v>
      </c>
      <c r="L21" s="682">
        <f t="shared" si="8"/>
        <v>1.2084900000000001</v>
      </c>
      <c r="M21" s="682">
        <f t="shared" si="8"/>
        <v>1.6113200000000001</v>
      </c>
      <c r="N21" s="682">
        <f t="shared" si="8"/>
        <v>0</v>
      </c>
      <c r="O21" s="682">
        <f t="shared" si="8"/>
        <v>0</v>
      </c>
      <c r="P21" s="682">
        <f>DSUM(MercadoBase,$B21,P$14:P$15)</f>
        <v>0</v>
      </c>
      <c r="Q21" s="682">
        <f t="shared" si="8"/>
        <v>0</v>
      </c>
      <c r="R21" s="9"/>
      <c r="S21" s="9"/>
      <c r="T21" s="9"/>
      <c r="U21" s="9"/>
      <c r="V21" s="9"/>
    </row>
    <row r="22" spans="1:22">
      <c r="A22" s="1332" t="s">
        <v>1335</v>
      </c>
      <c r="B22" s="1333" t="s">
        <v>1194</v>
      </c>
      <c r="C22" s="1334">
        <f>VLOOKUP($Q$15,Índices!$B:$F,2,FALSE)/VLOOKUP(EDATE(C15,-1),Índices!$B:$F,2,FALSE)</f>
        <v>1.1082167683385875</v>
      </c>
      <c r="D22" s="1334">
        <f>VLOOKUP($Q$15,Índices!$B:$F,2,FALSE)/VLOOKUP(EDATE(D15,-1),Índices!$B:$F,2,FALSE)</f>
        <v>1.1015781797155986</v>
      </c>
      <c r="E22" s="1334">
        <f>VLOOKUP($Q$15,Índices!$B:$F,2,FALSE)/VLOOKUP(EDATE(E15,-1),Índices!$B:$F,2,FALSE)</f>
        <v>1.0930813258985603</v>
      </c>
      <c r="F22" s="1334">
        <f>VLOOKUP($Q$15,Índices!$B:$F,2,FALSE)/VLOOKUP(EDATE(F15,-1),Índices!$B:$F,2,FALSE)</f>
        <v>1.0858745154816776</v>
      </c>
      <c r="G22" s="1334">
        <f>VLOOKUP($Q$15,Índices!$B:$F,2,FALSE)/VLOOKUP(EDATE(G15,-1),Índices!$B:$F,2,FALSE)</f>
        <v>1.0928625709205468</v>
      </c>
      <c r="H22" s="1334">
        <f>VLOOKUP($Q$15,Índices!$B:$F,2,FALSE)/VLOOKUP(EDATE(H15,-1),Índices!$B:$F,2,FALSE)</f>
        <v>1.0858814807891262</v>
      </c>
      <c r="I22" s="1334">
        <f>VLOOKUP($Q$15,Índices!$B:$F,2,FALSE)/VLOOKUP(EDATE(I15,-1),Índices!$B:$F,2,FALSE)</f>
        <v>1.0856825071943401</v>
      </c>
      <c r="J22" s="1334">
        <f>VLOOKUP($Q$15,Índices!$B:$F,2,FALSE)/VLOOKUP(EDATE(J15,-1),Índices!$B:$F,2,FALSE)</f>
        <v>1.0763096418852884</v>
      </c>
      <c r="K22" s="1334">
        <f>VLOOKUP($Q$15,Índices!$B:$F,2,FALSE)/VLOOKUP(EDATE(K15,-1),Índices!$B:$F,2,FALSE)</f>
        <v>1.0570963934847399</v>
      </c>
      <c r="L22" s="1334">
        <f>VLOOKUP($Q$15,Índices!$B:$F,2,FALSE)/VLOOKUP(EDATE(L15,-1),Índices!$B:$F,2,FALSE)</f>
        <v>1.0380694251480009</v>
      </c>
      <c r="M22" s="1334">
        <f>VLOOKUP($Q$15,Índices!$B:$F,2,FALSE)/VLOOKUP(EDATE(M15,-1),Índices!$B:$F,2,FALSE)</f>
        <v>1.0203079339221537</v>
      </c>
      <c r="N22" s="1334">
        <f>VLOOKUP($Q$15,Índices!$B:$F,2,FALSE)/VLOOKUP(EDATE(N15,-1),Índices!$B:$F,2,FALSE)</f>
        <v>1.0061088003233121</v>
      </c>
      <c r="O22" s="1334">
        <f>VLOOKUP($Q$15,Índices!$B:$F,2,FALSE)/VLOOKUP(EDATE(O15,-1),Índices!$B:$F,2,FALSE)</f>
        <v>1.0008877041571751</v>
      </c>
      <c r="P22" s="1334">
        <f>VLOOKUP($Q$15,Índices!$B:$F,2,FALSE)/VLOOKUP(EDATE(P15,-1),Índices!$B:$F,2,FALSE)</f>
        <v>0.99506416252827723</v>
      </c>
      <c r="Q22" s="1334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5" t="s">
        <v>1336</v>
      </c>
      <c r="B23" s="1336"/>
      <c r="C23" s="1337">
        <f t="shared" ref="C23:Q23" si="10">SUM(C16:C21)*C22</f>
        <v>0</v>
      </c>
      <c r="D23" s="1337">
        <f t="shared" si="10"/>
        <v>0</v>
      </c>
      <c r="E23" s="1337">
        <f t="shared" si="10"/>
        <v>0</v>
      </c>
      <c r="F23" s="1338">
        <f>SUM(F16:F21)*F22</f>
        <v>36241.093261049144</v>
      </c>
      <c r="G23" s="1338">
        <f t="shared" si="10"/>
        <v>37190.584652074518</v>
      </c>
      <c r="H23" s="1338">
        <f t="shared" si="10"/>
        <v>44435.719370051804</v>
      </c>
      <c r="I23" s="1338">
        <f t="shared" si="10"/>
        <v>39605.003962588904</v>
      </c>
      <c r="J23" s="1338">
        <f t="shared" si="10"/>
        <v>45359.178456169167</v>
      </c>
      <c r="K23" s="1338">
        <f t="shared" si="10"/>
        <v>36896.644987442764</v>
      </c>
      <c r="L23" s="1338">
        <f t="shared" si="10"/>
        <v>36831.449427723819</v>
      </c>
      <c r="M23" s="1338">
        <f t="shared" si="10"/>
        <v>33352.906312388164</v>
      </c>
      <c r="N23" s="1338">
        <f t="shared" si="10"/>
        <v>33717.660167293936</v>
      </c>
      <c r="O23" s="1338">
        <f t="shared" si="10"/>
        <v>32236.153761544487</v>
      </c>
      <c r="P23" s="1338">
        <f t="shared" si="10"/>
        <v>32689.990020255085</v>
      </c>
      <c r="Q23" s="1338">
        <f t="shared" si="10"/>
        <v>33990.938709088805</v>
      </c>
      <c r="R23" s="9"/>
      <c r="S23" s="9"/>
      <c r="T23" s="9"/>
      <c r="U23" s="9"/>
      <c r="V23" s="9"/>
    </row>
    <row r="24" spans="1:22">
      <c r="A24" s="9"/>
      <c r="B24" s="9"/>
      <c r="C24" s="9" t="s">
        <v>1337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1338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57" t="s">
        <v>22</v>
      </c>
      <c r="B26" s="1858" t="s">
        <v>1328</v>
      </c>
      <c r="C26" s="677" t="s">
        <v>874</v>
      </c>
      <c r="D26" s="677" t="s">
        <v>874</v>
      </c>
      <c r="E26" s="677" t="s">
        <v>874</v>
      </c>
      <c r="F26" s="677" t="s">
        <v>874</v>
      </c>
      <c r="G26" s="677" t="s">
        <v>874</v>
      </c>
      <c r="H26" s="677" t="s">
        <v>874</v>
      </c>
      <c r="I26" s="677" t="s">
        <v>874</v>
      </c>
      <c r="J26" s="677" t="s">
        <v>874</v>
      </c>
      <c r="K26" s="677" t="s">
        <v>874</v>
      </c>
      <c r="L26" s="677" t="s">
        <v>874</v>
      </c>
      <c r="M26" s="677" t="s">
        <v>874</v>
      </c>
      <c r="N26" s="677" t="s">
        <v>874</v>
      </c>
      <c r="O26" s="677" t="s">
        <v>874</v>
      </c>
      <c r="P26" s="677" t="s">
        <v>874</v>
      </c>
      <c r="Q26" s="677" t="s">
        <v>874</v>
      </c>
      <c r="R26" s="9"/>
      <c r="S26" s="9"/>
      <c r="T26" s="9"/>
      <c r="U26" s="9"/>
      <c r="V26" s="9"/>
    </row>
    <row r="27" spans="1:22">
      <c r="A27" s="1857"/>
      <c r="B27" s="1858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1329</v>
      </c>
      <c r="B28" s="681" t="s">
        <v>697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0</v>
      </c>
      <c r="G28" s="682">
        <f>VLOOKUP($B28,BD!$B$61:$C$66,2,FALSE)</f>
        <v>0</v>
      </c>
      <c r="H28" s="682">
        <f>VLOOKUP($B28,BD!$B$61:$C$66,2,FALSE)</f>
        <v>0</v>
      </c>
      <c r="I28" s="682">
        <f>VLOOKUP($B28,BD!$B$61:$C$66,2,FALSE)</f>
        <v>0</v>
      </c>
      <c r="J28" s="682">
        <f>VLOOKUP($B28,BD!$B$61:$C$66,2,FALSE)</f>
        <v>0</v>
      </c>
      <c r="K28" s="682">
        <f>VLOOKUP($B28,BD!$B$61:$C$66,2,FALSE)</f>
        <v>0</v>
      </c>
      <c r="L28" s="682">
        <f>VLOOKUP($B28,BD!$B$61:$C$66,2,FALSE)</f>
        <v>0</v>
      </c>
      <c r="M28" s="682">
        <f>VLOOKUP($B28,BD!$B$61:$C$66,2,FALSE)</f>
        <v>0</v>
      </c>
      <c r="N28" s="682">
        <f>VLOOKUP($B28,BD!$B$61:$C$66,2,FALSE)</f>
        <v>0</v>
      </c>
      <c r="O28" s="682">
        <f>VLOOKUP($B28,BD!$B$61:$C$66,2,FALSE)</f>
        <v>0</v>
      </c>
      <c r="P28" s="682">
        <f>VLOOKUP($B28,BD!$B$61:$C$66,2,FALSE)</f>
        <v>0</v>
      </c>
      <c r="Q28" s="682">
        <f>VLOOKUP($B28,BD!$B$61:$C$66,2,FALSE)</f>
        <v>0</v>
      </c>
      <c r="S28" s="9"/>
      <c r="T28" s="9"/>
      <c r="U28" s="9"/>
      <c r="V28" s="9"/>
    </row>
    <row r="29" spans="1:22">
      <c r="A29" s="680" t="s">
        <v>1330</v>
      </c>
      <c r="B29" s="681" t="s">
        <v>699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1331</v>
      </c>
      <c r="B30" s="681" t="s">
        <v>701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1332</v>
      </c>
      <c r="B31" s="681" t="s">
        <v>702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25.99</v>
      </c>
      <c r="G31" s="682">
        <f>VLOOKUP($B31,BD!$B$61:$C$66,2,FALSE)</f>
        <v>25.99</v>
      </c>
      <c r="H31" s="682">
        <f>VLOOKUP($B31,BD!$B$61:$C$66,2,FALSE)</f>
        <v>25.99</v>
      </c>
      <c r="I31" s="682">
        <f>VLOOKUP($B31,BD!$B$61:$C$66,2,FALSE)</f>
        <v>25.99</v>
      </c>
      <c r="J31" s="682">
        <f>VLOOKUP($B31,BD!$B$61:$C$66,2,FALSE)</f>
        <v>25.99</v>
      </c>
      <c r="K31" s="682">
        <f>VLOOKUP($B31,BD!$B$61:$C$66,2,FALSE)</f>
        <v>25.99</v>
      </c>
      <c r="L31" s="682">
        <f>VLOOKUP($B31,BD!$B$61:$C$66,2,FALSE)</f>
        <v>25.99</v>
      </c>
      <c r="M31" s="682">
        <f>VLOOKUP($B31,BD!$B$61:$C$66,2,FALSE)</f>
        <v>25.99</v>
      </c>
      <c r="N31" s="682">
        <f>VLOOKUP($B31,BD!$B$61:$C$66,2,FALSE)</f>
        <v>25.99</v>
      </c>
      <c r="O31" s="682">
        <f>VLOOKUP($B31,BD!$B$61:$C$66,2,FALSE)</f>
        <v>25.99</v>
      </c>
      <c r="P31" s="682">
        <f>VLOOKUP($B31,BD!$B$61:$C$66,2,FALSE)</f>
        <v>25.99</v>
      </c>
      <c r="Q31" s="682">
        <f>VLOOKUP($B31,BD!$B$61:$C$66,2,FALSE)</f>
        <v>25.99</v>
      </c>
      <c r="S31" s="9"/>
      <c r="T31" s="9"/>
      <c r="U31" s="9"/>
      <c r="V31" s="9"/>
    </row>
    <row r="32" spans="1:22">
      <c r="A32" s="680" t="s">
        <v>1333</v>
      </c>
      <c r="B32" s="681" t="s">
        <v>705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37087.72</v>
      </c>
      <c r="G32" s="682">
        <f>VLOOKUP($B32,BD!$B$61:$C$66,2,FALSE)</f>
        <v>37087.72</v>
      </c>
      <c r="H32" s="682">
        <f>VLOOKUP($B32,BD!$B$61:$C$66,2,FALSE)</f>
        <v>37087.72</v>
      </c>
      <c r="I32" s="682">
        <f>VLOOKUP($B32,BD!$B$61:$C$66,2,FALSE)</f>
        <v>37087.72</v>
      </c>
      <c r="J32" s="682">
        <f>VLOOKUP($B32,BD!$B$61:$C$66,2,FALSE)</f>
        <v>37087.72</v>
      </c>
      <c r="K32" s="682">
        <f>VLOOKUP($B32,BD!$B$61:$C$66,2,FALSE)</f>
        <v>37087.72</v>
      </c>
      <c r="L32" s="682">
        <f>VLOOKUP($B32,BD!$B$61:$C$66,2,FALSE)</f>
        <v>37087.72</v>
      </c>
      <c r="M32" s="682">
        <f>VLOOKUP($B32,BD!$B$61:$C$66,2,FALSE)</f>
        <v>37087.72</v>
      </c>
      <c r="N32" s="682">
        <f>VLOOKUP($B32,BD!$B$61:$C$66,2,FALSE)</f>
        <v>37087.72</v>
      </c>
      <c r="O32" s="682">
        <f>VLOOKUP($B32,BD!$B$61:$C$66,2,FALSE)</f>
        <v>37087.72</v>
      </c>
      <c r="P32" s="682">
        <f>VLOOKUP($B32,BD!$B$61:$C$66,2,FALSE)</f>
        <v>37087.72</v>
      </c>
      <c r="Q32" s="682">
        <f>VLOOKUP($B32,BD!$B$61:$C$66,2,FALSE)</f>
        <v>37087.72</v>
      </c>
      <c r="S32" s="9"/>
      <c r="T32" s="9"/>
      <c r="U32" s="9"/>
      <c r="V32" s="9"/>
    </row>
    <row r="33" spans="1:22">
      <c r="A33" s="683" t="s">
        <v>1334</v>
      </c>
      <c r="B33" s="681" t="s">
        <v>707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8.42</v>
      </c>
      <c r="G33" s="682">
        <f>VLOOKUP($B33,BD!$B$61:$C$66,2,FALSE)</f>
        <v>8.42</v>
      </c>
      <c r="H33" s="682">
        <f>VLOOKUP($B33,BD!$B$61:$C$66,2,FALSE)</f>
        <v>8.42</v>
      </c>
      <c r="I33" s="682">
        <f>VLOOKUP($B33,BD!$B$61:$C$66,2,FALSE)</f>
        <v>8.42</v>
      </c>
      <c r="J33" s="682">
        <f>VLOOKUP($B33,BD!$B$61:$C$66,2,FALSE)</f>
        <v>8.42</v>
      </c>
      <c r="K33" s="682">
        <f>VLOOKUP($B33,BD!$B$61:$C$66,2,FALSE)</f>
        <v>8.42</v>
      </c>
      <c r="L33" s="682">
        <f>VLOOKUP($B33,BD!$B$61:$C$66,2,FALSE)</f>
        <v>8.42</v>
      </c>
      <c r="M33" s="682">
        <f>VLOOKUP($B33,BD!$B$61:$C$66,2,FALSE)</f>
        <v>8.42</v>
      </c>
      <c r="N33" s="682">
        <f>VLOOKUP($B33,BD!$B$61:$C$66,2,FALSE)</f>
        <v>8.42</v>
      </c>
      <c r="O33" s="682">
        <f>VLOOKUP($B33,BD!$B$61:$C$66,2,FALSE)</f>
        <v>8.42</v>
      </c>
      <c r="P33" s="682">
        <f>VLOOKUP($B33,BD!$B$61:$C$66,2,FALSE)</f>
        <v>8.42</v>
      </c>
      <c r="Q33" s="682">
        <f>VLOOKUP($B33,BD!$B$61:$C$66,2,FALSE)</f>
        <v>8.42</v>
      </c>
      <c r="S33" s="9"/>
      <c r="T33" s="9"/>
      <c r="U33" s="9"/>
      <c r="V33" s="9"/>
    </row>
    <row r="34" spans="1:22">
      <c r="A34" s="1332" t="s">
        <v>1335</v>
      </c>
      <c r="B34" s="1333" t="s">
        <v>1194</v>
      </c>
      <c r="C34" s="1339">
        <f t="shared" ref="C34:Q34" si="12">C22</f>
        <v>1.1082167683385875</v>
      </c>
      <c r="D34" s="1339">
        <f t="shared" si="12"/>
        <v>1.1015781797155986</v>
      </c>
      <c r="E34" s="1339">
        <f t="shared" si="12"/>
        <v>1.0930813258985603</v>
      </c>
      <c r="F34" s="1334">
        <f t="shared" si="12"/>
        <v>1.0858745154816776</v>
      </c>
      <c r="G34" s="1334">
        <f t="shared" si="12"/>
        <v>1.0928625709205468</v>
      </c>
      <c r="H34" s="1334">
        <f t="shared" si="12"/>
        <v>1.0858814807891262</v>
      </c>
      <c r="I34" s="1334">
        <f t="shared" si="12"/>
        <v>1.0856825071943401</v>
      </c>
      <c r="J34" s="1334">
        <f t="shared" si="12"/>
        <v>1.0763096418852884</v>
      </c>
      <c r="K34" s="1334">
        <f t="shared" si="12"/>
        <v>1.0570963934847399</v>
      </c>
      <c r="L34" s="1334">
        <f t="shared" si="12"/>
        <v>1.0380694251480009</v>
      </c>
      <c r="M34" s="1334">
        <f t="shared" si="12"/>
        <v>1.0203079339221537</v>
      </c>
      <c r="N34" s="1334">
        <f t="shared" si="12"/>
        <v>1.0061088003233121</v>
      </c>
      <c r="O34" s="1334">
        <f t="shared" si="12"/>
        <v>1.0008877041571751</v>
      </c>
      <c r="P34" s="1334">
        <f t="shared" si="12"/>
        <v>0.99506416252827723</v>
      </c>
      <c r="Q34" s="1334">
        <f t="shared" si="12"/>
        <v>0.99301706056210437</v>
      </c>
      <c r="S34" s="9"/>
      <c r="T34" s="9"/>
      <c r="U34" s="9"/>
      <c r="V34" s="9"/>
    </row>
    <row r="35" spans="1:22">
      <c r="A35" s="1335" t="s">
        <v>1336</v>
      </c>
      <c r="B35" s="1336"/>
      <c r="C35" s="1337">
        <f>SUM(C28:C33)*C34</f>
        <v>0</v>
      </c>
      <c r="D35" s="1337">
        <f t="shared" ref="D35:Q35" si="13">SUM(D28:D33)*D34</f>
        <v>0</v>
      </c>
      <c r="E35" s="1337">
        <f t="shared" si="13"/>
        <v>0</v>
      </c>
      <c r="F35" s="1338">
        <f t="shared" si="13"/>
        <v>40309.974927397845</v>
      </c>
      <c r="G35" s="1338">
        <f t="shared" si="13"/>
        <v>40569.38642984676</v>
      </c>
      <c r="H35" s="1338">
        <f t="shared" si="13"/>
        <v>40310.233494446438</v>
      </c>
      <c r="I35" s="1338">
        <f t="shared" si="13"/>
        <v>40302.84717079423</v>
      </c>
      <c r="J35" s="1338">
        <f t="shared" si="13"/>
        <v>39954.906446319117</v>
      </c>
      <c r="K35" s="1338">
        <f t="shared" si="13"/>
        <v>39241.669741471669</v>
      </c>
      <c r="L35" s="1338">
        <f t="shared" si="13"/>
        <v>38535.348149369354</v>
      </c>
      <c r="M35" s="1338">
        <f t="shared" si="13"/>
        <v>37876.003763089597</v>
      </c>
      <c r="N35" s="1338">
        <f t="shared" si="13"/>
        <v>37348.901679746028</v>
      </c>
      <c r="O35" s="1338">
        <f t="shared" si="13"/>
        <v>37155.083469124191</v>
      </c>
      <c r="P35" s="1338">
        <f t="shared" si="13"/>
        <v>36938.90119971583</v>
      </c>
      <c r="Q35" s="1338">
        <f t="shared" si="13"/>
        <v>36862.908414404308</v>
      </c>
      <c r="R35" s="9"/>
      <c r="S35" s="9"/>
      <c r="T35" s="9"/>
      <c r="U35" s="9"/>
      <c r="V35" s="9"/>
    </row>
    <row r="36" spans="1:22">
      <c r="A36" s="1340"/>
      <c r="B36" s="1322"/>
      <c r="C36" s="1340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1339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57" t="s">
        <v>22</v>
      </c>
      <c r="B38" s="1858" t="s">
        <v>1328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57"/>
      <c r="B39" s="1859"/>
      <c r="C39" s="1341">
        <f>C27</f>
        <v>44348</v>
      </c>
      <c r="D39" s="1341">
        <f t="shared" ref="D39:E39" si="14">D27</f>
        <v>44378</v>
      </c>
      <c r="E39" s="1341">
        <f t="shared" si="14"/>
        <v>44409</v>
      </c>
      <c r="G39" s="836"/>
      <c r="H39" s="836"/>
      <c r="I39" s="836"/>
      <c r="J39" s="836"/>
      <c r="K39" s="836"/>
      <c r="L39" s="839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1329</v>
      </c>
      <c r="B40" s="684"/>
      <c r="C40" s="685"/>
      <c r="D40" s="686"/>
      <c r="E40" s="686"/>
      <c r="F40" s="65"/>
      <c r="G40" s="840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1330</v>
      </c>
      <c r="B41" s="684"/>
      <c r="C41" s="685"/>
      <c r="D41" s="686"/>
      <c r="E41" s="686"/>
      <c r="F41" s="65"/>
      <c r="G41" s="840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1331</v>
      </c>
      <c r="B42" s="684"/>
      <c r="C42" s="685"/>
      <c r="D42" s="686"/>
      <c r="E42" s="686"/>
      <c r="F42" s="65"/>
      <c r="G42" s="840"/>
      <c r="H42" s="682"/>
      <c r="I42" s="682"/>
      <c r="J42" s="682"/>
      <c r="K42" s="682"/>
      <c r="L42" s="841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1332</v>
      </c>
      <c r="B43" s="684"/>
      <c r="C43" s="685"/>
      <c r="D43" s="686"/>
      <c r="E43" s="686"/>
      <c r="F43" s="65"/>
      <c r="G43" s="840"/>
      <c r="H43" s="682"/>
      <c r="I43" s="682"/>
      <c r="J43" s="682"/>
      <c r="K43" s="682"/>
      <c r="L43" s="841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1333</v>
      </c>
      <c r="B44" s="684"/>
      <c r="C44" s="685"/>
      <c r="D44" s="686"/>
      <c r="E44" s="686"/>
      <c r="F44" s="65"/>
      <c r="G44" s="840"/>
      <c r="H44" s="682"/>
      <c r="I44" s="682"/>
      <c r="J44" s="682"/>
      <c r="K44" s="682"/>
      <c r="L44" s="841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1334</v>
      </c>
      <c r="B45" s="684"/>
      <c r="C45" s="687"/>
      <c r="D45" s="838"/>
      <c r="E45" s="838"/>
      <c r="F45" s="65"/>
      <c r="G45" s="840"/>
      <c r="H45" s="682"/>
      <c r="I45" s="682"/>
      <c r="J45" s="682"/>
      <c r="K45" s="682"/>
      <c r="L45" s="841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2"/>
      <c r="L46" s="843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2" t="s">
        <v>8</v>
      </c>
      <c r="B49" s="1343"/>
      <c r="C49" s="1342"/>
      <c r="D49" s="9"/>
    </row>
    <row r="50" spans="1:10">
      <c r="A50" s="1343" t="s">
        <v>2</v>
      </c>
      <c r="B50" s="1343"/>
      <c r="C50" s="1319"/>
    </row>
    <row r="51" spans="1:10">
      <c r="A51" s="1343" t="s">
        <v>3</v>
      </c>
      <c r="B51" s="1343"/>
      <c r="C51" s="1319"/>
      <c r="D51" s="232"/>
    </row>
    <row r="52" spans="1:10">
      <c r="A52" s="1343" t="s">
        <v>4</v>
      </c>
      <c r="B52" s="1343"/>
      <c r="C52" s="1319"/>
      <c r="D52" s="232"/>
    </row>
    <row r="53" spans="1:10">
      <c r="A53" s="1343" t="s">
        <v>5</v>
      </c>
      <c r="B53" s="1343"/>
      <c r="C53" s="1319"/>
      <c r="D53" s="232"/>
    </row>
    <row r="54" spans="1:10">
      <c r="A54" s="1343" t="s">
        <v>6</v>
      </c>
      <c r="B54" s="1343"/>
      <c r="C54" s="1319"/>
      <c r="D54" s="232"/>
      <c r="H54" s="1344"/>
      <c r="I54" s="1345"/>
      <c r="J54" s="1346"/>
    </row>
    <row r="55" spans="1:10">
      <c r="A55" s="1343" t="s">
        <v>7</v>
      </c>
      <c r="B55" s="1343"/>
      <c r="C55" s="1319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46" activePane="bottomLeft" state="frozen"/>
      <selection activeCell="D36" sqref="D36"/>
      <selection pane="bottomLeft" activeCell="R50" sqref="R5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0" t="s">
        <v>1340</v>
      </c>
      <c r="C1" s="258"/>
      <c r="D1" s="258"/>
      <c r="E1" s="204"/>
      <c r="F1" s="1347"/>
      <c r="G1" s="1128" t="s">
        <v>873</v>
      </c>
      <c r="H1" s="1129">
        <f ca="1">LnkTXTIRTEco</f>
        <v>-0.10630000000000001</v>
      </c>
    </row>
    <row r="2" spans="2:26" ht="14.25">
      <c r="B2" s="136" t="str">
        <f>CAPA!C9</f>
        <v>Coopermila</v>
      </c>
      <c r="C2" s="1348"/>
      <c r="D2" s="1348"/>
      <c r="E2" s="1348"/>
      <c r="F2" s="1349"/>
      <c r="G2" s="120" t="s">
        <v>877</v>
      </c>
      <c r="H2" s="121">
        <f ca="1">LnkTXTIRTTotal</f>
        <v>-0.2195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68"/>
      <c r="P4" s="1868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0" t="s">
        <v>1341</v>
      </c>
      <c r="M6" s="1351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1342</v>
      </c>
      <c r="D9" s="289" t="s">
        <v>1343</v>
      </c>
      <c r="L9" s="212" t="s">
        <v>1344</v>
      </c>
      <c r="M9" s="213">
        <v>4</v>
      </c>
      <c r="O9" s="267"/>
      <c r="P9" s="287"/>
      <c r="Z9" s="68"/>
    </row>
    <row r="10" spans="2:26" ht="14.25">
      <c r="L10" s="212" t="s">
        <v>1345</v>
      </c>
      <c r="M10" s="214">
        <f>CAPA!K16</f>
        <v>8.5874515481677571E-2</v>
      </c>
      <c r="O10" s="267"/>
      <c r="P10" s="287"/>
      <c r="Z10" s="68"/>
    </row>
    <row r="11" spans="2:26" ht="14.25">
      <c r="B11" s="1871" t="s">
        <v>1346</v>
      </c>
      <c r="C11" s="1872"/>
      <c r="D11" s="1352" t="s">
        <v>1347</v>
      </c>
      <c r="E11" s="1353" t="s">
        <v>1348</v>
      </c>
      <c r="F11" s="1354" t="s">
        <v>1349</v>
      </c>
      <c r="G11" s="1353"/>
      <c r="H11" s="1353"/>
      <c r="I11" s="1353"/>
      <c r="J11" s="1353"/>
      <c r="L11" s="212" t="s">
        <v>1350</v>
      </c>
      <c r="M11" s="214">
        <f>CAPA!K17</f>
        <v>8.727291292620043E-2</v>
      </c>
      <c r="O11" s="267"/>
      <c r="P11" s="287"/>
      <c r="Z11" s="68"/>
    </row>
    <row r="12" spans="2:26" ht="14.25">
      <c r="B12" s="1877" t="s">
        <v>1351</v>
      </c>
      <c r="C12" s="1872"/>
      <c r="D12" s="1355" t="s">
        <v>1344</v>
      </c>
      <c r="E12" s="1355" t="s">
        <v>772</v>
      </c>
      <c r="F12" s="1355" t="s">
        <v>772</v>
      </c>
      <c r="G12" s="1355" t="s">
        <v>772</v>
      </c>
      <c r="H12" s="1355" t="s">
        <v>772</v>
      </c>
      <c r="I12" s="1355" t="s">
        <v>772</v>
      </c>
      <c r="J12" s="1355" t="s">
        <v>772</v>
      </c>
      <c r="L12" s="1356" t="s">
        <v>1352</v>
      </c>
      <c r="M12" s="1357">
        <v>41275</v>
      </c>
      <c r="O12" s="267"/>
      <c r="P12" s="287"/>
      <c r="Z12" s="68"/>
    </row>
    <row r="13" spans="2:26" ht="14.25">
      <c r="B13" s="1878" t="s">
        <v>1353</v>
      </c>
      <c r="C13" s="1879"/>
      <c r="D13" s="1358">
        <v>43617</v>
      </c>
      <c r="E13" s="1358">
        <v>43617</v>
      </c>
      <c r="F13" s="1358">
        <v>43617</v>
      </c>
      <c r="G13" s="1358">
        <f t="shared" ref="G13:J14" si="0">F13</f>
        <v>43617</v>
      </c>
      <c r="H13" s="1358">
        <f t="shared" si="0"/>
        <v>43617</v>
      </c>
      <c r="I13" s="1358">
        <f t="shared" si="0"/>
        <v>43617</v>
      </c>
      <c r="J13" s="1358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69" t="s">
        <v>1354</v>
      </c>
      <c r="C14" s="1870"/>
      <c r="D14" s="1358">
        <v>42887</v>
      </c>
      <c r="E14" s="1358">
        <v>43252</v>
      </c>
      <c r="F14" s="1358">
        <v>43252</v>
      </c>
      <c r="G14" s="1358">
        <f t="shared" si="0"/>
        <v>43252</v>
      </c>
      <c r="H14" s="1358">
        <f t="shared" si="0"/>
        <v>43252</v>
      </c>
      <c r="I14" s="1358">
        <f t="shared" si="0"/>
        <v>43252</v>
      </c>
      <c r="J14" s="1358">
        <f t="shared" si="0"/>
        <v>43252</v>
      </c>
      <c r="L14" s="1359"/>
      <c r="M14" s="1360">
        <v>41334</v>
      </c>
      <c r="O14" s="267"/>
      <c r="P14" s="287"/>
      <c r="Z14" s="68"/>
    </row>
    <row r="15" spans="2:26" ht="14.25">
      <c r="B15" s="1869" t="s">
        <v>1355</v>
      </c>
      <c r="C15" s="1870"/>
      <c r="D15" s="1361">
        <f>VLOOKUP(D13,Índices!$B$6:$F$500,VLOOKUP(D12,$L$7:$M$9,2,FALSE)+1,FALSE)/VLOOKUP(D14,Índices!$B$6:$F$500,VLOOKUP(D12,$L$7:$M$9,2,FALSE)+1,FALSE)</f>
        <v>1.1414978440075982</v>
      </c>
      <c r="E15" s="1361">
        <f>VLOOKUP(E13,Índices!$B$6:$F$500,VLOOKUP(E12,$L$7:$M$9,2,FALSE)+1,FALSE)/VLOOKUP(E14,Índices!$B$6:$F$500,VLOOKUP(E12,$L$7:$M$9,2,FALSE)+1,FALSE)</f>
        <v>1.0336626715248016</v>
      </c>
      <c r="F15" s="1361">
        <f>VLOOKUP(F13,Índices!$B$6:$F$500,VLOOKUP(F12,$L$7:$M$9,2,FALSE)+1,FALSE)/VLOOKUP(F14,Índices!$B$6:$F$500,VLOOKUP(F12,$L$7:$M$9,2,FALSE)+1,FALSE)</f>
        <v>1.0336626715248016</v>
      </c>
      <c r="G15" s="1361">
        <f>VLOOKUP(G13,Índices!$B$6:$F$500,VLOOKUP(G12,$L$7:$M$9,2,FALSE)+1,FALSE)/VLOOKUP(G14,Índices!$B$6:$F$500,VLOOKUP(G12,$L$7:$M$9,2,FALSE)+1,FALSE)</f>
        <v>1.0336626715248016</v>
      </c>
      <c r="H15" s="1361">
        <f>VLOOKUP(H13,Índices!$B$6:$F$500,VLOOKUP(H12,$L$7:$M$9,2,FALSE)+1,FALSE)/VLOOKUP(H14,Índices!$B$6:$F$500,VLOOKUP(H12,$L$7:$M$9,2,FALSE)+1,FALSE)</f>
        <v>1.0336626715248016</v>
      </c>
      <c r="I15" s="1361">
        <f>VLOOKUP(I13,Índices!$B$6:$F$500,VLOOKUP(I12,$L$7:$M$9,2,FALSE)+1,FALSE)/VLOOKUP(I14,Índices!$B$6:$F$500,VLOOKUP(I12,$L$7:$M$9,2,FALSE)+1,FALSE)</f>
        <v>1.0336626715248016</v>
      </c>
      <c r="J15" s="1361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69" t="s">
        <v>1356</v>
      </c>
      <c r="C16" s="1870"/>
      <c r="D16" s="1362"/>
      <c r="E16" s="1362"/>
      <c r="F16" s="1362"/>
      <c r="G16" s="1362"/>
      <c r="H16" s="1362"/>
      <c r="I16" s="1362"/>
      <c r="J16" s="1362"/>
      <c r="O16" s="267"/>
      <c r="P16" s="287"/>
      <c r="Z16" s="68"/>
    </row>
    <row r="17" spans="1:26" ht="14.25">
      <c r="B17" s="1875" t="s">
        <v>1357</v>
      </c>
      <c r="C17" s="1876"/>
      <c r="D17" s="1363">
        <f t="shared" ref="D17:E17" si="1">D16*D15</f>
        <v>0</v>
      </c>
      <c r="E17" s="1363">
        <f t="shared" si="1"/>
        <v>0</v>
      </c>
      <c r="F17" s="1363">
        <f>F16*F15</f>
        <v>0</v>
      </c>
      <c r="G17" s="1363">
        <f>G16*G15</f>
        <v>0</v>
      </c>
      <c r="H17" s="1363">
        <f>H16*H15</f>
        <v>0</v>
      </c>
      <c r="I17" s="1363">
        <f>I16*I15</f>
        <v>0</v>
      </c>
      <c r="J17" s="1363">
        <f>J16*J15</f>
        <v>0</v>
      </c>
      <c r="O17" s="267"/>
      <c r="P17" s="92"/>
      <c r="Z17" s="68"/>
    </row>
    <row r="18" spans="1:26" ht="14.25">
      <c r="E18" s="290" t="s">
        <v>1358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1359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1360</v>
      </c>
      <c r="E20" s="291" t="s">
        <v>1361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4" t="s">
        <v>1346</v>
      </c>
      <c r="C22" s="1873" t="s">
        <v>2279</v>
      </c>
      <c r="D22" s="1874"/>
      <c r="E22" s="1862" t="s">
        <v>1362</v>
      </c>
      <c r="F22" s="1863"/>
      <c r="G22" s="1862" t="str">
        <f>Financeiros!C25</f>
        <v>Ajuste CUST RB Fronteira + PIS Cofins RB Fronteira</v>
      </c>
      <c r="H22" s="1863"/>
      <c r="I22" s="1864" t="s">
        <v>1176</v>
      </c>
      <c r="J22" s="1865"/>
      <c r="K22" s="1880" t="s">
        <v>1363</v>
      </c>
      <c r="L22" s="1881"/>
      <c r="M22" s="1882" t="s">
        <v>2157</v>
      </c>
      <c r="N22" s="1883"/>
      <c r="O22" s="1860" t="s">
        <v>1364</v>
      </c>
      <c r="P22" s="1861"/>
      <c r="Q22" s="1860" t="s">
        <v>192</v>
      </c>
      <c r="R22" s="1861"/>
      <c r="S22" s="1860" t="s">
        <v>2042</v>
      </c>
      <c r="T22" s="1861"/>
      <c r="U22" s="1860" t="s">
        <v>2043</v>
      </c>
      <c r="V22" s="1861"/>
      <c r="Z22" s="68"/>
    </row>
    <row r="23" spans="1:26" ht="14.25">
      <c r="B23" s="1365" t="s">
        <v>925</v>
      </c>
      <c r="C23" s="1366" t="s">
        <v>1365</v>
      </c>
      <c r="D23" s="1367" t="s">
        <v>772</v>
      </c>
      <c r="E23" s="1366" t="s">
        <v>1365</v>
      </c>
      <c r="F23" s="1367" t="s">
        <v>772</v>
      </c>
      <c r="G23" s="1366" t="s">
        <v>1365</v>
      </c>
      <c r="H23" s="1367" t="s">
        <v>772</v>
      </c>
      <c r="I23" s="1366" t="s">
        <v>1365</v>
      </c>
      <c r="J23" s="1367" t="s">
        <v>772</v>
      </c>
      <c r="K23" s="1366" t="s">
        <v>1365</v>
      </c>
      <c r="L23" s="1367" t="s">
        <v>1344</v>
      </c>
      <c r="M23" s="1368" t="s">
        <v>1365</v>
      </c>
      <c r="N23" s="1369" t="s">
        <v>1344</v>
      </c>
      <c r="O23" s="1368" t="s">
        <v>1365</v>
      </c>
      <c r="P23" s="1369" t="s">
        <v>772</v>
      </c>
      <c r="Q23" s="1368" t="s">
        <v>1365</v>
      </c>
      <c r="R23" s="1369" t="s">
        <v>772</v>
      </c>
      <c r="S23" s="1368" t="s">
        <v>1365</v>
      </c>
      <c r="T23" s="1369" t="s">
        <v>772</v>
      </c>
      <c r="U23" s="1368" t="s">
        <v>1365</v>
      </c>
      <c r="V23" s="1369" t="s">
        <v>772</v>
      </c>
      <c r="Z23" s="68"/>
    </row>
    <row r="24" spans="1:26" ht="14.25">
      <c r="B24" s="1370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29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29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29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29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1" customFormat="1" ht="14.25">
      <c r="A37" s="825"/>
      <c r="B37" s="826">
        <f t="shared" si="2"/>
        <v>44440</v>
      </c>
      <c r="C37" s="827">
        <f>CAPA!C66</f>
        <v>14616.71</v>
      </c>
      <c r="D37" s="828">
        <f>VLOOKUP($B$48,Índices!$B$6:$F$500,VLOOKUP(D$23,$L$7:$M$9,2,FALSE)+1,FALSE)/VLOOKUP(DATE(YEAR($B37),MONTH($B37)-1,1),Índices!$B$6:$F$500,VLOOKUP(D$23,$L$7:$M$9,2,FALSE)+1,FALSE)*C37</f>
        <v>15892.352859097522</v>
      </c>
      <c r="E37" s="829"/>
      <c r="F37" s="828">
        <f>VLOOKUP($B$48,Índices!$B$6:$F$500,VLOOKUP(F$23,$L$7:$M$9,2,FALSE)+1,FALSE)/VLOOKUP(DATE(YEAR($B37),MONTH($B37)-1,1),Índices!$B$6:$F$500,VLOOKUP(H$23,$L$7:$M$9,2,FALSE)+1,FALSE)*E37</f>
        <v>0</v>
      </c>
      <c r="G37" s="829">
        <f>CAPA!E66</f>
        <v>0</v>
      </c>
      <c r="H37" s="828">
        <f>VLOOKUP($B$48,Índices!$B$6:$F$500,VLOOKUP(H$23,$L$7:$M$9,2,FALSE)+1,FALSE)/VLOOKUP(DATE(YEAR($B37),MONTH($B37)-1,1),Índices!$B$6:$F$500,VLOOKUP(H$23,$L$7:$M$9,2,FALSE)+1,FALSE)*G37</f>
        <v>0</v>
      </c>
      <c r="I37" s="830">
        <f>IFERROR(HLOOKUP(B37,'Rede Básica + Ajuste'!$E$70:$P$71,2,FALSE),0)</f>
        <v>0</v>
      </c>
      <c r="J37" s="830">
        <f>VLOOKUP($B$48,Índices!$B$6:$F$500,VLOOKUP(J$23,$L$7:$M$9,2,FALSE)+1,FALSE)/VLOOKUP(DATE(YEAR($B37),MONTH($B37)-1,1),Índices!$B$6:$F$500,VLOOKUP(J$23,$L$7:$M$9,2,FALSE)+1,FALSE)*I37</f>
        <v>0</v>
      </c>
      <c r="K37" s="829">
        <f>CAPA!H66</f>
        <v>0</v>
      </c>
      <c r="L37" s="828">
        <f>VLOOKUP($B$48,Índices!$B$6:$F$500,VLOOKUP(L$23,$L$7:$M$9,2,FALSE)+1,FALSE)/VLOOKUP(DATE(YEAR($B37),MONTH($B37)-1,1),Índices!$B$6:$F$500,VLOOKUP(L$23,$L$7:$M$9,2,FALSE)+1,FALSE)*K37</f>
        <v>0</v>
      </c>
      <c r="M37" s="829">
        <f>CVE!$I$14/12</f>
        <v>0</v>
      </c>
      <c r="N37" s="828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28">
        <f>VLOOKUP($B$48,Índices!$B$6:$F$500,VLOOKUP(P$23,$L$7:$M$9,2,FALSE)+1,FALSE)/VLOOKUP(DATE(YEAR($B37),MONTH($B37)-1,1),Índices!$B$6:$F$500,VLOOKUP(P$23,$L$7:$M$9,2,FALSE)+1,FALSE)*O37</f>
        <v>0</v>
      </c>
      <c r="Q37" s="829">
        <f>CAPA!D66</f>
        <v>0</v>
      </c>
      <c r="R37" s="828">
        <f>VLOOKUP($B$48,Índices!$B$6:$F$500,VLOOKUP(R$23,$L$7:$M$9,2,FALSE)+1,FALSE)/VLOOKUP(DATE(YEAR($B37),MONTH($B37)-1,1),Índices!$B$6:$F$500,VLOOKUP(R$23,$L$7:$M$9,2,FALSE)+1,FALSE)*Q37</f>
        <v>0</v>
      </c>
      <c r="S37" s="829">
        <f>'Tributos suprimento'!$B$14/12</f>
        <v>0</v>
      </c>
      <c r="T37" s="828">
        <f>VLOOKUP($B$48,Índices!$B$6:$F$500,VLOOKUP(T$23,$L$7:$M$9,2,FALSE)+1,FALSE)/VLOOKUP(DATE(YEAR($B37),MONTH($B37)-1,1),Índices!$B$6:$F$500,VLOOKUP(T$23,$L$7:$M$9,2,FALSE)+1,FALSE)*S37</f>
        <v>0</v>
      </c>
      <c r="U37" s="829">
        <f>'Tributos suprimento'!$B$13/12</f>
        <v>0</v>
      </c>
      <c r="V37" s="828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22458.49</v>
      </c>
      <c r="D38" s="225">
        <f>VLOOKUP($B$48,Índices!$B$6:$F$500,VLOOKUP(D$23,$L$7:$M$9,2,FALSE)+1,FALSE)/VLOOKUP(DATE(YEAR($B38),MONTH($B38)-1,1),Índices!$B$6:$F$500,VLOOKUP(D$23,$L$7:$M$9,2,FALSE)+1,FALSE)*C38</f>
        <v>24138.510080616263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29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29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24519.760000000002</v>
      </c>
      <c r="D39" s="225">
        <f>VLOOKUP($B$48,Índices!$B$6:$F$500,VLOOKUP(D$23,$L$7:$M$9,2,FALSE)+1,FALSE)/VLOOKUP(DATE(YEAR($B39),MONTH($B39)-1,1),Índices!$B$6:$F$500,VLOOKUP(D$23,$L$7:$M$9,2,FALSE)+1,FALSE)*C39</f>
        <v>26028.628193888522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29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29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24542.48</v>
      </c>
      <c r="D40" s="225">
        <f>VLOOKUP($B$48,Índices!$B$6:$F$500,VLOOKUP(D$23,$L$7:$M$9,2,FALSE)+1,FALSE)/VLOOKUP(DATE(YEAR($B40),MONTH($B40)-1,1),Índices!$B$6:$F$500,VLOOKUP(D$23,$L$7:$M$9,2,FALSE)+1,FALSE)*C40</f>
        <v>25807.556705098516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29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29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33609.43</v>
      </c>
      <c r="D41" s="225">
        <f>VLOOKUP($B$48,Índices!$B$6:$F$500,VLOOKUP(D$23,$L$7:$M$9,2,FALSE)+1,FALSE)/VLOOKUP(DATE(YEAR($B41),MONTH($B41)-1,1),Índices!$B$6:$F$500,VLOOKUP(D$23,$L$7:$M$9,2,FALSE)+1,FALSE)*C41</f>
        <v>35085.763989140592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-28966.44</v>
      </c>
      <c r="H41" s="225">
        <f>VLOOKUP($B$48,Índices!$B$6:$F$500,VLOOKUP(H$23,$L$7:$M$9,2,FALSE)+1,FALSE)/VLOOKUP(DATE(YEAR($B41),MONTH($B41)-1,1),Índices!$B$6:$F$500,VLOOKUP(H$23,$L$7:$M$9,2,FALSE)+1,FALSE)*G41</f>
        <v>-30238.825158463016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29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29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16861.78</v>
      </c>
      <c r="D42" s="225">
        <f>VLOOKUP($B$48,Índices!$B$6:$F$500,VLOOKUP(D$23,$L$7:$M$9,2,FALSE)+1,FALSE)/VLOOKUP(DATE(YEAR($B42),MONTH($B42)-1,1),Índices!$B$6:$F$500,VLOOKUP(D$23,$L$7:$M$9,2,FALSE)+1,FALSE)*C42</f>
        <v>17507.905847078458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29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29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22095.87</v>
      </c>
      <c r="D43" s="225">
        <f>VLOOKUP($B$48,Índices!$B$6:$F$500,VLOOKUP(D$23,$L$7:$M$9,2,FALSE)+1,FALSE)/VLOOKUP(DATE(YEAR($B43),MONTH($B43)-1,1),Índices!$B$6:$F$500,VLOOKUP(D$23,$L$7:$M$9,2,FALSE)+1,FALSE)*C43</f>
        <v>22713.143976242267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29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29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13644.2</v>
      </c>
      <c r="D44" s="225">
        <f>VLOOKUP($B$48,Índices!$B$6:$F$500,VLOOKUP(D$23,$L$7:$M$9,2,FALSE)+1,FALSE)/VLOOKUP(DATE(YEAR($B44),MONTH($B44)-1,1),Índices!$B$6:$F$500,VLOOKUP(D$23,$L$7:$M$9,2,FALSE)+1,FALSE)*C44</f>
        <v>13801.771085810009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29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29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20863.330000000002</v>
      </c>
      <c r="D45" s="225">
        <f>VLOOKUP($B$48,Índices!$B$6:$F$500,VLOOKUP(D$23,$L$7:$M$9,2,FALSE)+1,FALSE)/VLOOKUP(DATE(YEAR($B45),MONTH($B45)-1,1),Índices!$B$6:$F$500,VLOOKUP(D$23,$L$7:$M$9,2,FALSE)+1,FALSE)*C45</f>
        <v>20882.909147140475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-3353.82</v>
      </c>
      <c r="H45" s="225">
        <f>VLOOKUP($B$48,Índices!$B$6:$F$500,VLOOKUP(H$23,$L$7:$M$9,2,FALSE)+1,FALSE)/VLOOKUP(DATE(YEAR($B45),MONTH($B45)-1,1),Índices!$B$6:$F$500,VLOOKUP(H$23,$L$7:$M$9,2,FALSE)+1,FALSE)*G45</f>
        <v>-3356.9673851615566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29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29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25562.18</v>
      </c>
      <c r="D46" s="225">
        <f>VLOOKUP($B$48,Índices!$B$6:$F$500,VLOOKUP(D$23,$L$7:$M$9,2,FALSE)+1,FALSE)/VLOOKUP(DATE(YEAR($B46),MONTH($B46)-1,1),Índices!$B$6:$F$500,VLOOKUP(D$23,$L$7:$M$9,2,FALSE)+1,FALSE)*C46</f>
        <v>25466.474491429748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92569.592799999999</v>
      </c>
      <c r="L46" s="225">
        <f>VLOOKUP($B$48,Índices!$B$6:$F$500,VLOOKUP(L$23,$L$7:$M$9,2,FALSE)+1,FALSE)/VLOOKUP(DATE(YEAR($B46),MONTH($B46)-1,1),Índices!$B$6:$F$500,VLOOKUP(L$23,$L$7:$M$9,2,FALSE)+1,FALSE)*K46</f>
        <v>95581.921079605236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29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29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34060.25</v>
      </c>
      <c r="D47" s="225">
        <f>VLOOKUP($B$48,Índices!$B$6:$F$500,VLOOKUP(D$23,$L$7:$M$9,2,FALSE)+1,FALSE)/VLOOKUP(DATE(YEAR($B47),MONTH($B47)-1,1),Índices!$B$6:$F$500,VLOOKUP(D$23,$L$7:$M$9,2,FALSE)+1,FALSE)*C47</f>
        <v>33706.871971545188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12.2</v>
      </c>
      <c r="L47" s="225">
        <f>VLOOKUP($B$48,Índices!$B$6:$F$500,VLOOKUP(L$23,$L$7:$M$9,2,FALSE)+1,FALSE)/VLOOKUP(DATE(YEAR($B47),MONTH($B47)-1,1),Índices!$B$6:$F$500,VLOOKUP(L$23,$L$7:$M$9,2,FALSE)+1,FALSE)*K47</f>
        <v>12.470389180924796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29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29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1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29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29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2">
        <f t="shared" ref="C49:P49" si="3">SUM(C25:C48)</f>
        <v>252834.47999999998</v>
      </c>
      <c r="D49" s="1373">
        <f t="shared" si="3"/>
        <v>261031.88834708757</v>
      </c>
      <c r="E49" s="1372">
        <f t="shared" si="3"/>
        <v>0</v>
      </c>
      <c r="F49" s="1373">
        <f t="shared" si="3"/>
        <v>0</v>
      </c>
      <c r="G49" s="1372">
        <f t="shared" si="3"/>
        <v>-32320.26</v>
      </c>
      <c r="H49" s="1373">
        <f t="shared" si="3"/>
        <v>-33595.792543624571</v>
      </c>
      <c r="I49" s="1374">
        <f>SUM(I24:I48)</f>
        <v>0</v>
      </c>
      <c r="J49" s="1374">
        <f>SUM(J24:J48)</f>
        <v>0</v>
      </c>
      <c r="K49" s="1375">
        <f t="shared" si="3"/>
        <v>92581.792799999996</v>
      </c>
      <c r="L49" s="1376">
        <f t="shared" si="3"/>
        <v>95594.391468786154</v>
      </c>
      <c r="M49" s="1377">
        <f t="shared" si="3"/>
        <v>0</v>
      </c>
      <c r="N49" s="1378">
        <f t="shared" si="3"/>
        <v>0</v>
      </c>
      <c r="O49" s="1377">
        <f t="shared" si="3"/>
        <v>0</v>
      </c>
      <c r="P49" s="1378">
        <f t="shared" si="3"/>
        <v>0</v>
      </c>
      <c r="Q49" s="1377">
        <f t="shared" ref="Q49:R49" si="4">SUM(Q25:Q48)</f>
        <v>0</v>
      </c>
      <c r="R49" s="1378">
        <f t="shared" si="4"/>
        <v>0</v>
      </c>
      <c r="S49" s="1377">
        <f>-S51</f>
        <v>0</v>
      </c>
      <c r="T49" s="1378">
        <f t="shared" ref="T49:V49" si="5">SUM(T25:T48)</f>
        <v>0</v>
      </c>
      <c r="U49" s="1377">
        <f>-S52</f>
        <v>0</v>
      </c>
      <c r="V49" s="1378">
        <f t="shared" si="5"/>
        <v>0</v>
      </c>
      <c r="Z49" s="68"/>
    </row>
    <row r="50" spans="2:30" ht="14.25">
      <c r="J50" s="68" t="s">
        <v>848</v>
      </c>
      <c r="M50" s="198"/>
      <c r="N50" s="107"/>
      <c r="S50" s="1311"/>
      <c r="T50" s="68" t="s">
        <v>1366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6" t="s">
        <v>2085</v>
      </c>
      <c r="D53" s="1867"/>
      <c r="E53" s="1866" t="s">
        <v>1367</v>
      </c>
      <c r="F53" s="1867"/>
      <c r="G53" s="1866" t="s">
        <v>1368</v>
      </c>
      <c r="H53" s="1867"/>
      <c r="I53" s="1866" t="s">
        <v>1369</v>
      </c>
      <c r="J53" s="1867"/>
      <c r="K53" s="1862" t="s">
        <v>1370</v>
      </c>
      <c r="L53" s="1863"/>
      <c r="M53" s="1866" t="s">
        <v>1371</v>
      </c>
      <c r="N53" s="1867"/>
      <c r="O53" s="1866" t="s">
        <v>2087</v>
      </c>
      <c r="P53" s="1867"/>
      <c r="Q53" s="1866" t="s">
        <v>2088</v>
      </c>
      <c r="R53" s="1867"/>
      <c r="S53" s="1866" t="s">
        <v>1372</v>
      </c>
      <c r="T53" s="1867"/>
      <c r="U53" s="1866" t="s">
        <v>1373</v>
      </c>
      <c r="V53" s="1867"/>
      <c r="W53" s="1866" t="s">
        <v>36</v>
      </c>
      <c r="X53" s="1867"/>
      <c r="Z53" s="68"/>
    </row>
    <row r="54" spans="2:30" ht="14.25">
      <c r="C54" s="1368" t="s">
        <v>1365</v>
      </c>
      <c r="D54" s="1369" t="s">
        <v>772</v>
      </c>
      <c r="E54" s="1368" t="s">
        <v>1365</v>
      </c>
      <c r="F54" s="1369" t="s">
        <v>772</v>
      </c>
      <c r="G54" s="1368" t="s">
        <v>1365</v>
      </c>
      <c r="H54" s="1369" t="s">
        <v>772</v>
      </c>
      <c r="I54" s="1368" t="s">
        <v>1365</v>
      </c>
      <c r="J54" s="1369" t="s">
        <v>772</v>
      </c>
      <c r="K54" s="1366" t="s">
        <v>1365</v>
      </c>
      <c r="L54" s="1367" t="s">
        <v>772</v>
      </c>
      <c r="M54" s="1368" t="s">
        <v>1365</v>
      </c>
      <c r="N54" s="1369" t="s">
        <v>772</v>
      </c>
      <c r="O54" s="1368" t="s">
        <v>1365</v>
      </c>
      <c r="P54" s="1369" t="s">
        <v>772</v>
      </c>
      <c r="Q54" s="1368" t="s">
        <v>1365</v>
      </c>
      <c r="R54" s="1369" t="s">
        <v>772</v>
      </c>
      <c r="S54" s="1368" t="s">
        <v>1365</v>
      </c>
      <c r="T54" s="1369" t="s">
        <v>772</v>
      </c>
      <c r="U54" s="1368" t="s">
        <v>1365</v>
      </c>
      <c r="V54" s="1369" t="s">
        <v>772</v>
      </c>
      <c r="W54" s="1368" t="s">
        <v>1365</v>
      </c>
      <c r="X54" s="1379" t="s">
        <v>1344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-24.442667884484308</v>
      </c>
      <c r="H68" s="225">
        <f ca="1">VLOOKUP($B$48,Índices!$B$6:$F$500,VLOOKUP(H$54,$L$7:$M$9,2,FALSE)+1,FALSE)/VLOOKUP(DATE(YEAR($B68),MONTH($B68)-1,1),Índices!$B$6:$F$500,VLOOKUP(H$54,$L$7:$M$9,2,FALSE)+1,FALSE)*G68</f>
        <v>-26.575850710450943</v>
      </c>
      <c r="I68" s="207">
        <f ca="1">Encargos!F31</f>
        <v>-3017.0064895172836</v>
      </c>
      <c r="J68" s="225">
        <f ca="1">VLOOKUP($B$48,Índices!$B$6:$F$500,VLOOKUP(J$54,$L$7:$M$9,2,FALSE)+1,FALSE)/VLOOKUP(DATE(YEAR($B68),MONTH($B68)-1,1),Índices!$B$6:$F$500,VLOOKUP(J$54,$L$7:$M$9,2,FALSE)+1,FALSE)*I68</f>
        <v>-3280.3094341747073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-607.82800857336588</v>
      </c>
      <c r="N68" s="225">
        <f ca="1">VLOOKUP($B$48,Índices!$B$6:$F$500,VLOOKUP(N$54,$L$7:$M$9,2,FALSE)+1,FALSE)/VLOOKUP(DATE(YEAR($B68),MONTH($B68)-1,1),Índices!$B$6:$F$500,VLOOKUP(N$54,$L$7:$M$9,2,FALSE)+1,FALSE)*M68</f>
        <v>-660.87492943969505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-37.53576810921561</v>
      </c>
      <c r="H69" s="225">
        <f ca="1">VLOOKUP($B$48,Índices!$B$6:$F$500,VLOOKUP(H$54,$L$7:$M$9,2,FALSE)+1,FALSE)/VLOOKUP(DATE(YEAR($B69),MONTH($B69)-1,1),Índices!$B$6:$F$500,VLOOKUP(H$54,$L$7:$M$9,2,FALSE)+1,FALSE)*G69</f>
        <v>-40.343652529087009</v>
      </c>
      <c r="I69" s="207">
        <f ca="1">Encargos!F32</f>
        <v>-4029.0659558436455</v>
      </c>
      <c r="J69" s="225">
        <f ca="1">VLOOKUP($B$48,Índices!$B$6:$F$500,VLOOKUP(J$54,$L$7:$M$9,2,FALSE)+1,FALSE)/VLOOKUP(DATE(YEAR($B69),MONTH($B69)-1,1),Índices!$B$6:$F$500,VLOOKUP(J$54,$L$7:$M$9,2,FALSE)+1,FALSE)*I69</f>
        <v>-4330.4625195460439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-776.76636671466622</v>
      </c>
      <c r="N69" s="225">
        <f ca="1">VLOOKUP($B$48,Índices!$B$6:$F$500,VLOOKUP(N$54,$L$7:$M$9,2,FALSE)+1,FALSE)/VLOOKUP(DATE(YEAR($B69),MONTH($B69)-1,1),Índices!$B$6:$F$500,VLOOKUP(N$54,$L$7:$M$9,2,FALSE)+1,FALSE)*M69</f>
        <v>-834.87281527946175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-148.73748426623558</v>
      </c>
      <c r="H70" s="225">
        <f ca="1">VLOOKUP($B$48,Índices!$B$6:$F$500,VLOOKUP(H$54,$L$7:$M$9,2,FALSE)+1,FALSE)/VLOOKUP(DATE(YEAR($B70),MONTH($B70)-1,1),Índices!$B$6:$F$500,VLOOKUP(H$54,$L$7:$M$9,2,FALSE)+1,FALSE)*G70</f>
        <v>-157.89031688973259</v>
      </c>
      <c r="I70" s="207">
        <f ca="1">Encargos!F33</f>
        <v>-11968.316360763725</v>
      </c>
      <c r="J70" s="225">
        <f ca="1">VLOOKUP($B$48,Índices!$B$6:$F$500,VLOOKUP(J$54,$L$7:$M$9,2,FALSE)+1,FALSE)/VLOOKUP(DATE(YEAR($B70),MONTH($B70)-1,1),Índices!$B$6:$F$500,VLOOKUP(J$54,$L$7:$M$9,2,FALSE)+1,FALSE)*I70</f>
        <v>-12704.808556900716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-2044.0851793965776</v>
      </c>
      <c r="N70" s="225">
        <f ca="1">VLOOKUP($B$48,Índices!$B$6:$F$500,VLOOKUP(N$54,$L$7:$M$9,2,FALSE)+1,FALSE)/VLOOKUP(DATE(YEAR($B70),MONTH($B70)-1,1),Índices!$B$6:$F$500,VLOOKUP(N$54,$L$7:$M$9,2,FALSE)+1,FALSE)*M70</f>
        <v>-2169.8716925105068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-96.566882780583796</v>
      </c>
      <c r="H71" s="225">
        <f ca="1">VLOOKUP($B$48,Índices!$B$6:$F$500,VLOOKUP(H$54,$L$7:$M$9,2,FALSE)+1,FALSE)/VLOOKUP(DATE(YEAR($B71),MONTH($B71)-1,1),Índices!$B$6:$F$500,VLOOKUP(H$54,$L$7:$M$9,2,FALSE)+1,FALSE)*G71</f>
        <v>-101.54455878927141</v>
      </c>
      <c r="I71" s="207">
        <f ca="1">Encargos!F34</f>
        <v>-8467.7693214158789</v>
      </c>
      <c r="J71" s="225">
        <f ca="1">VLOOKUP($B$48,Índices!$B$6:$F$500,VLOOKUP(J$54,$L$7:$M$9,2,FALSE)+1,FALSE)/VLOOKUP(DATE(YEAR($B71),MONTH($B71)-1,1),Índices!$B$6:$F$500,VLOOKUP(J$54,$L$7:$M$9,2,FALSE)+1,FALSE)*I71</f>
        <v>-8904.2524198098108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-1508.2672084535207</v>
      </c>
      <c r="N71" s="225">
        <f ca="1">VLOOKUP($B$48,Índices!$B$6:$F$500,VLOOKUP(N$54,$L$7:$M$9,2,FALSE)+1,FALSE)/VLOOKUP(DATE(YEAR($B71),MONTH($B71)-1,1),Índices!$B$6:$F$500,VLOOKUP(N$54,$L$7:$M$9,2,FALSE)+1,FALSE)*M71</f>
        <v>-1586.012966440428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-187.6002424523839</v>
      </c>
      <c r="H72" s="225">
        <f ca="1">VLOOKUP($B$48,Índices!$B$6:$F$500,VLOOKUP(H$54,$L$7:$M$9,2,FALSE)+1,FALSE)/VLOOKUP(DATE(YEAR($B72),MONTH($B72)-1,1),Índices!$B$6:$F$500,VLOOKUP(H$54,$L$7:$M$9,2,FALSE)+1,FALSE)*G72</f>
        <v>-195.84080512492758</v>
      </c>
      <c r="I72" s="207">
        <f ca="1">Encargos!F35</f>
        <v>-14886.470604316783</v>
      </c>
      <c r="J72" s="225">
        <f ca="1">VLOOKUP($B$48,Índices!$B$6:$F$500,VLOOKUP(J$54,$L$7:$M$9,2,FALSE)+1,FALSE)/VLOOKUP(DATE(YEAR($B72),MONTH($B72)-1,1),Índices!$B$6:$F$500,VLOOKUP(J$54,$L$7:$M$9,2,FALSE)+1,FALSE)*I72</f>
        <v>-15540.376443585559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-2524.5446329932965</v>
      </c>
      <c r="N72" s="225">
        <f ca="1">VLOOKUP($B$48,Índices!$B$6:$F$500,VLOOKUP(N$54,$L$7:$M$9,2,FALSE)+1,FALSE)/VLOOKUP(DATE(YEAR($B72),MONTH($B72)-1,1),Índices!$B$6:$F$500,VLOOKUP(N$54,$L$7:$M$9,2,FALSE)+1,FALSE)*M72</f>
        <v>-2635.4382437683221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1.0047920942917017</v>
      </c>
      <c r="H73" s="225">
        <f ca="1">VLOOKUP($B$48,Índices!$B$6:$F$500,VLOOKUP(H$54,$L$7:$M$9,2,FALSE)+1,FALSE)/VLOOKUP(DATE(YEAR($B73),MONTH($B73)-1,1),Índices!$B$6:$F$500,VLOOKUP(H$54,$L$7:$M$9,2,FALSE)+1,FALSE)*G73</f>
        <v>1.0432946807957342</v>
      </c>
      <c r="I73" s="207">
        <f ca="1">Encargos!F36</f>
        <v>-204.79529362668109</v>
      </c>
      <c r="J73" s="225">
        <f ca="1">VLOOKUP($B$48,Índices!$B$6:$F$500,VLOOKUP(J$54,$L$7:$M$9,2,FALSE)+1,FALSE)/VLOOKUP(DATE(YEAR($B73),MONTH($B73)-1,1),Índices!$B$6:$F$500,VLOOKUP(J$54,$L$7:$M$9,2,FALSE)+1,FALSE)*I73</f>
        <v>-212.64283597228285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-67.402372293165172</v>
      </c>
      <c r="N73" s="225">
        <f ca="1">VLOOKUP($B$48,Índices!$B$6:$F$500,VLOOKUP(N$54,$L$7:$M$9,2,FALSE)+1,FALSE)/VLOOKUP(DATE(YEAR($B73),MONTH($B73)-1,1),Índices!$B$6:$F$500,VLOOKUP(N$54,$L$7:$M$9,2,FALSE)+1,FALSE)*M73</f>
        <v>-69.985160995960427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-121.08679082761444</v>
      </c>
      <c r="H74" s="225">
        <f ca="1">VLOOKUP($B$48,Índices!$B$6:$F$500,VLOOKUP(H$54,$L$7:$M$9,2,FALSE)+1,FALSE)/VLOOKUP(DATE(YEAR($B74),MONTH($B74)-1,1),Índices!$B$6:$F$500,VLOOKUP(H$54,$L$7:$M$9,2,FALSE)+1,FALSE)*G74</f>
        <v>-124.46949197695038</v>
      </c>
      <c r="I74" s="207">
        <f ca="1">Encargos!F37</f>
        <v>-10794.308711446662</v>
      </c>
      <c r="J74" s="225">
        <f ca="1">VLOOKUP($B$48,Índices!$B$6:$F$500,VLOOKUP(J$54,$L$7:$M$9,2,FALSE)+1,FALSE)/VLOOKUP(DATE(YEAR($B74),MONTH($B74)-1,1),Índices!$B$6:$F$500,VLOOKUP(J$54,$L$7:$M$9,2,FALSE)+1,FALSE)*I74</f>
        <v>-11095.860352504527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-1944.6178950338744</v>
      </c>
      <c r="N74" s="225">
        <f ca="1">VLOOKUP($B$48,Índices!$B$6:$F$500,VLOOKUP(N$54,$L$7:$M$9,2,FALSE)+1,FALSE)/VLOOKUP(DATE(YEAR($B74),MONTH($B74)-1,1),Índices!$B$6:$F$500,VLOOKUP(N$54,$L$7:$M$9,2,FALSE)+1,FALSE)*M74</f>
        <v>-1998.9430707494914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-54.141044674069349</v>
      </c>
      <c r="H75" s="225">
        <f ca="1">VLOOKUP($B$48,Índices!$B$6:$F$500,VLOOKUP(H$54,$L$7:$M$9,2,FALSE)+1,FALSE)/VLOOKUP(DATE(YEAR($B75),MONTH($B75)-1,1),Índices!$B$6:$F$500,VLOOKUP(H$54,$L$7:$M$9,2,FALSE)+1,FALSE)*G75</f>
        <v>-54.76629666364596</v>
      </c>
      <c r="I75" s="207">
        <f ca="1">Encargos!F38</f>
        <v>-5692.6663766096754</v>
      </c>
      <c r="J75" s="225">
        <f ca="1">VLOOKUP($B$48,Índices!$B$6:$F$500,VLOOKUP(J$54,$L$7:$M$9,2,FALSE)+1,FALSE)/VLOOKUP(DATE(YEAR($B75),MONTH($B75)-1,1),Índices!$B$6:$F$500,VLOOKUP(J$54,$L$7:$M$9,2,FALSE)+1,FALSE)*I75</f>
        <v>-5758.4085690516295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-1097.7501842718812</v>
      </c>
      <c r="N75" s="225">
        <f ca="1">VLOOKUP($B$48,Índices!$B$6:$F$500,VLOOKUP(N$54,$L$7:$M$9,2,FALSE)+1,FALSE)/VLOOKUP(DATE(YEAR($B75),MONTH($B75)-1,1),Índices!$B$6:$F$500,VLOOKUP(N$54,$L$7:$M$9,2,FALSE)+1,FALSE)*M75</f>
        <v>-1110.4276361183695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-103.71703108410441</v>
      </c>
      <c r="H76" s="225">
        <f ca="1">VLOOKUP($B$48,Índices!$B$6:$F$500,VLOOKUP(H$54,$L$7:$M$9,2,FALSE)+1,FALSE)/VLOOKUP(DATE(YEAR($B76),MONTH($B76)-1,1),Índices!$B$6:$F$500,VLOOKUP(H$54,$L$7:$M$9,2,FALSE)+1,FALSE)*G76</f>
        <v>-103.81436410872553</v>
      </c>
      <c r="I76" s="207">
        <f ca="1">Encargos!F39</f>
        <v>-9758.3052314189117</v>
      </c>
      <c r="J76" s="225">
        <f ca="1">VLOOKUP($B$48,Índices!$B$6:$F$500,VLOOKUP(J$54,$L$7:$M$9,2,FALSE)+1,FALSE)/VLOOKUP(DATE(YEAR($B76),MONTH($B76)-1,1),Índices!$B$6:$F$500,VLOOKUP(J$54,$L$7:$M$9,2,FALSE)+1,FALSE)*I76</f>
        <v>-9767.4628919633979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-1799.0317883063817</v>
      </c>
      <c r="N76" s="225">
        <f ca="1">VLOOKUP($B$48,Índices!$B$6:$F$500,VLOOKUP(N$54,$L$7:$M$9,2,FALSE)+1,FALSE)/VLOOKUP(DATE(YEAR($B76),MONTH($B76)-1,1),Índices!$B$6:$F$500,VLOOKUP(N$54,$L$7:$M$9,2,FALSE)+1,FALSE)*M76</f>
        <v>-1800.7200858165893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-52.575779833900356</v>
      </c>
      <c r="H77" s="225">
        <f ca="1">VLOOKUP($B$48,Índices!$B$6:$F$500,VLOOKUP(H$54,$L$7:$M$9,2,FALSE)+1,FALSE)/VLOOKUP(DATE(YEAR($B77),MONTH($B77)-1,1),Índices!$B$6:$F$500,VLOOKUP(H$54,$L$7:$M$9,2,FALSE)+1,FALSE)*G77</f>
        <v>-52.378934660778143</v>
      </c>
      <c r="I77" s="207">
        <f ca="1">Encargos!F40</f>
        <v>-5572.8941821111803</v>
      </c>
      <c r="J77" s="225">
        <f ca="1">VLOOKUP($B$48,Índices!$B$6:$F$500,VLOOKUP(J$54,$L$7:$M$9,2,FALSE)+1,FALSE)/VLOOKUP(DATE(YEAR($B77),MONTH($B77)-1,1),Índices!$B$6:$F$500,VLOOKUP(J$54,$L$7:$M$9,2,FALSE)+1,FALSE)*I77</f>
        <v>-5552.0291122342305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-1081.0137793661543</v>
      </c>
      <c r="N77" s="225">
        <f ca="1">VLOOKUP($B$48,Índices!$B$6:$F$500,VLOOKUP(N$54,$L$7:$M$9,2,FALSE)+1,FALSE)/VLOOKUP(DATE(YEAR($B77),MONTH($B77)-1,1),Índices!$B$6:$F$500,VLOOKUP(N$54,$L$7:$M$9,2,FALSE)+1,FALSE)*M77</f>
        <v>-1076.9664338922671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-81.036303092787307</v>
      </c>
      <c r="H78" s="225">
        <f ca="1">VLOOKUP($B$48,Índices!$B$6:$F$500,VLOOKUP(H$54,$L$7:$M$9,2,FALSE)+1,FALSE)/VLOOKUP(DATE(YEAR($B78),MONTH($B78)-1,1),Índices!$B$6:$F$500,VLOOKUP(H$54,$L$7:$M$9,2,FALSE)+1,FALSE)*G78</f>
        <v>-80.195544465936479</v>
      </c>
      <c r="I78" s="207">
        <f ca="1">Encargos!F41</f>
        <v>-8002.6963740423234</v>
      </c>
      <c r="J78" s="225">
        <f ca="1">VLOOKUP($B$48,Índices!$B$6:$F$500,VLOOKUP(J$54,$L$7:$M$9,2,FALSE)+1,FALSE)/VLOOKUP(DATE(YEAR($B78),MONTH($B78)-1,1),Índices!$B$6:$F$500,VLOOKUP(J$54,$L$7:$M$9,2,FALSE)+1,FALSE)*I78</f>
        <v>-7919.6677096320045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-1505.4859290716504</v>
      </c>
      <c r="N78" s="225">
        <f ca="1">VLOOKUP($B$48,Índices!$B$6:$F$500,VLOOKUP(N$54,$L$7:$M$9,2,FALSE)+1,FALSE)/VLOOKUP(DATE(YEAR($B78),MONTH($B78)-1,1),Índices!$B$6:$F$500,VLOOKUP(N$54,$L$7:$M$9,2,FALSE)+1,FALSE)*M78</f>
        <v>-1489.8663828416079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-113.52797151674793</v>
      </c>
      <c r="H79" s="225">
        <f ca="1">VLOOKUP($B$48,Índices!$B$6:$F$500,VLOOKUP(H$54,$L$7:$M$9,2,FALSE)+1,FALSE)/VLOOKUP(DATE(YEAR($B79),MONTH($B79)-1,1),Índices!$B$6:$F$500,VLOOKUP(H$54,$L$7:$M$9,2,FALSE)+1,FALSE)*G79</f>
        <v>-113.11932429045849</v>
      </c>
      <c r="I79" s="207">
        <f ca="1">Encargos!F42</f>
        <v>-10394.062920447846</v>
      </c>
      <c r="J79" s="225">
        <f ca="1">VLOOKUP($B$48,Índices!$B$6:$F$500,VLOOKUP(J$54,$L$7:$M$9,2,FALSE)+1,FALSE)/VLOOKUP(DATE(YEAR($B79),MONTH($B79)-1,1),Índices!$B$6:$F$500,VLOOKUP(J$54,$L$7:$M$9,2,FALSE)+1,FALSE)*I79</f>
        <v>-10356.649189491751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-1895.4741502146771</v>
      </c>
      <c r="N79" s="225">
        <f ca="1">VLOOKUP($B$48,Índices!$B$6:$F$500,VLOOKUP(N$54,$L$7:$M$9,2,FALSE)+1,FALSE)/VLOOKUP(DATE(YEAR($B79),MONTH($B79)-1,1),Índices!$B$6:$F$500,VLOOKUP(N$54,$L$7:$M$9,2,FALSE)+1,FALSE)*M79</f>
        <v>-1888.6513360338188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77">
        <f ca="1">SUM(C56:C79)</f>
        <v>0</v>
      </c>
      <c r="D80" s="1378">
        <f ca="1">SUM(D56:D79)</f>
        <v>0</v>
      </c>
      <c r="E80" s="1377">
        <f ca="1">SUM(E56:E79)</f>
        <v>0</v>
      </c>
      <c r="F80" s="1378">
        <f ca="1">SUM(F56:F79)</f>
        <v>0</v>
      </c>
      <c r="G80" s="1377">
        <f ca="1">SUM(G55:G79)</f>
        <v>-1019.9631744278353</v>
      </c>
      <c r="H80" s="1377">
        <f t="shared" ref="H80:N80" ca="1" si="7">SUM(H55:H79)</f>
        <v>-1049.8958455291686</v>
      </c>
      <c r="I80" s="1377">
        <f t="shared" ca="1" si="7"/>
        <v>-92788.357821560596</v>
      </c>
      <c r="J80" s="1377">
        <f t="shared" ca="1" si="7"/>
        <v>-95422.930034866673</v>
      </c>
      <c r="K80" s="1377">
        <f t="shared" ca="1" si="7"/>
        <v>0</v>
      </c>
      <c r="L80" s="1377">
        <f t="shared" ca="1" si="7"/>
        <v>0</v>
      </c>
      <c r="M80" s="1377">
        <f t="shared" ca="1" si="7"/>
        <v>-16852.267494689211</v>
      </c>
      <c r="N80" s="1377">
        <f t="shared" ca="1" si="7"/>
        <v>-17322.630753886519</v>
      </c>
      <c r="O80" s="1377">
        <f t="shared" ref="O80:R80" ca="1" si="8">SUM(O55:O79)</f>
        <v>0</v>
      </c>
      <c r="P80" s="1377">
        <f t="shared" ca="1" si="8"/>
        <v>0</v>
      </c>
      <c r="Q80" s="1377">
        <f t="shared" ca="1" si="8"/>
        <v>0</v>
      </c>
      <c r="R80" s="1377">
        <f t="shared" ca="1" si="8"/>
        <v>0</v>
      </c>
      <c r="S80" s="1377">
        <f t="shared" ref="S80:X80" si="9">SUM(S55:S79)</f>
        <v>0</v>
      </c>
      <c r="T80" s="1377">
        <f t="shared" si="9"/>
        <v>0</v>
      </c>
      <c r="U80" s="1377">
        <f t="shared" si="9"/>
        <v>0</v>
      </c>
      <c r="V80" s="1380">
        <f t="shared" si="9"/>
        <v>0</v>
      </c>
      <c r="W80" s="1377">
        <f t="shared" si="9"/>
        <v>0</v>
      </c>
      <c r="X80" s="1380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1374</v>
      </c>
      <c r="C1" s="9" t="s">
        <v>1375</v>
      </c>
      <c r="D1" s="9" t="s">
        <v>1376</v>
      </c>
      <c r="E1" s="233" t="s">
        <v>1377</v>
      </c>
      <c r="F1" s="233" t="s">
        <v>1378</v>
      </c>
      <c r="G1" s="233" t="s">
        <v>1379</v>
      </c>
      <c r="H1" s="233" t="s">
        <v>1380</v>
      </c>
      <c r="I1" s="9" t="s">
        <v>192</v>
      </c>
      <c r="J1" s="9" t="s">
        <v>1381</v>
      </c>
      <c r="K1" s="9" t="s">
        <v>1382</v>
      </c>
      <c r="L1" s="9" t="s">
        <v>1383</v>
      </c>
      <c r="M1" s="9" t="s">
        <v>1384</v>
      </c>
      <c r="N1" s="9" t="s">
        <v>961</v>
      </c>
      <c r="O1" s="9" t="s">
        <v>875</v>
      </c>
      <c r="P1" s="9" t="s">
        <v>1385</v>
      </c>
      <c r="Q1" s="8" t="s">
        <v>869</v>
      </c>
      <c r="R1" s="17" t="s">
        <v>1386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1375</v>
      </c>
      <c r="B1" t="s">
        <v>960</v>
      </c>
      <c r="C1" t="s">
        <v>1387</v>
      </c>
      <c r="D1" t="s">
        <v>879</v>
      </c>
      <c r="E1" t="s">
        <v>1388</v>
      </c>
      <c r="F1" t="s">
        <v>58</v>
      </c>
      <c r="G1" t="s">
        <v>524</v>
      </c>
      <c r="H1" t="s">
        <v>961</v>
      </c>
      <c r="I1" t="s">
        <v>108</v>
      </c>
      <c r="J1" t="s">
        <v>1379</v>
      </c>
      <c r="K1" t="s">
        <v>1389</v>
      </c>
      <c r="L1" t="s">
        <v>1390</v>
      </c>
      <c r="M1" t="s">
        <v>1391</v>
      </c>
      <c r="N1" t="s">
        <v>971</v>
      </c>
      <c r="O1" t="s">
        <v>1392</v>
      </c>
      <c r="P1" t="s">
        <v>1393</v>
      </c>
      <c r="Q1" t="s">
        <v>1394</v>
      </c>
      <c r="R1" t="s">
        <v>1395</v>
      </c>
      <c r="S1" t="s">
        <v>192</v>
      </c>
      <c r="T1" t="s">
        <v>1396</v>
      </c>
      <c r="U1" t="s">
        <v>1397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1" t="s">
        <v>1398</v>
      </c>
      <c r="D2" s="3" t="s">
        <v>1399</v>
      </c>
    </row>
    <row r="3" spans="2:15">
      <c r="B3" s="5"/>
    </row>
    <row r="6" spans="2:15">
      <c r="B6" s="1382" t="s">
        <v>1400</v>
      </c>
      <c r="C6" s="1382" t="s">
        <v>1401</v>
      </c>
      <c r="D6" s="1382" t="s">
        <v>772</v>
      </c>
      <c r="E6" s="6" t="s">
        <v>1402</v>
      </c>
      <c r="F6" s="6" t="s">
        <v>1403</v>
      </c>
      <c r="G6" s="1383" t="s">
        <v>1404</v>
      </c>
      <c r="K6" s="1461" t="s">
        <v>2124</v>
      </c>
      <c r="L6" s="1462" t="s">
        <v>37</v>
      </c>
      <c r="M6" s="1463" t="s">
        <v>2125</v>
      </c>
      <c r="N6" s="1462" t="s">
        <v>1320</v>
      </c>
      <c r="O6" s="1464" t="s">
        <v>2126</v>
      </c>
    </row>
    <row r="7" spans="2:15">
      <c r="B7" s="1384">
        <v>32629</v>
      </c>
      <c r="C7" s="1385">
        <v>2.5789999999999999E-5</v>
      </c>
      <c r="D7" s="1385">
        <v>3.4132578959999998E-4</v>
      </c>
      <c r="E7" s="1385">
        <v>0</v>
      </c>
      <c r="F7" s="1385">
        <v>1</v>
      </c>
      <c r="K7" s="1465">
        <v>42064</v>
      </c>
      <c r="L7" s="1466"/>
      <c r="M7" s="1467">
        <v>0</v>
      </c>
      <c r="N7" s="1468">
        <v>1</v>
      </c>
      <c r="O7" s="1468">
        <v>1</v>
      </c>
    </row>
    <row r="8" spans="2:15">
      <c r="B8" s="1384">
        <v>32660</v>
      </c>
      <c r="C8" s="1385">
        <v>3.0859999999999999E-5</v>
      </c>
      <c r="D8" s="1385">
        <v>4.3911559890000003E-4</v>
      </c>
      <c r="E8" s="1385">
        <v>0</v>
      </c>
      <c r="F8" s="1385">
        <v>1</v>
      </c>
      <c r="G8" s="10"/>
      <c r="K8" s="1465">
        <v>42065</v>
      </c>
      <c r="L8" s="1466" t="s">
        <v>2127</v>
      </c>
      <c r="M8" s="1467">
        <v>4.5512999999999998E-2</v>
      </c>
      <c r="N8" s="1468">
        <v>1.00045513</v>
      </c>
      <c r="O8" s="1468">
        <v>1.00045513</v>
      </c>
    </row>
    <row r="9" spans="2:15">
      <c r="B9" s="1384">
        <v>32690</v>
      </c>
      <c r="C9" s="1385">
        <v>4.1940000000000002E-5</v>
      </c>
      <c r="D9" s="1385">
        <v>5.6092617030000002E-4</v>
      </c>
      <c r="E9" s="1385">
        <v>0</v>
      </c>
      <c r="F9" s="1385">
        <v>1</v>
      </c>
      <c r="K9" s="1465">
        <v>42066</v>
      </c>
      <c r="L9" s="1466" t="s">
        <v>2127</v>
      </c>
      <c r="M9" s="1467">
        <v>4.5512999999999998E-2</v>
      </c>
      <c r="N9" s="1468">
        <v>1.0009104671433169</v>
      </c>
      <c r="O9" s="1468">
        <v>1.0009104671433169</v>
      </c>
    </row>
    <row r="10" spans="2:15">
      <c r="B10" s="1384">
        <v>32721</v>
      </c>
      <c r="C10" s="1385">
        <v>5.7429999999999997E-5</v>
      </c>
      <c r="D10" s="1385">
        <v>7.5001448160000002E-4</v>
      </c>
      <c r="E10" s="1385">
        <v>0</v>
      </c>
      <c r="F10" s="1385">
        <v>1</v>
      </c>
      <c r="K10" s="1465">
        <v>42067</v>
      </c>
      <c r="L10" s="1466" t="s">
        <v>2127</v>
      </c>
      <c r="M10" s="1467">
        <v>4.5512999999999998E-2</v>
      </c>
      <c r="N10" s="1468">
        <v>1.0013660115242278</v>
      </c>
      <c r="O10" s="1468">
        <v>1.0013660115242278</v>
      </c>
    </row>
    <row r="11" spans="2:15">
      <c r="B11" s="1384">
        <v>32752</v>
      </c>
      <c r="C11" s="1385">
        <v>8.0350000000000001E-5</v>
      </c>
      <c r="D11" s="1385">
        <v>1.031719911E-3</v>
      </c>
      <c r="E11" s="1385">
        <v>0</v>
      </c>
      <c r="F11" s="1385">
        <v>1</v>
      </c>
      <c r="K11" s="1465">
        <v>42068</v>
      </c>
      <c r="L11" s="1466" t="s">
        <v>2127</v>
      </c>
      <c r="M11" s="1467">
        <v>4.7279000000000002E-2</v>
      </c>
      <c r="N11" s="1468">
        <v>1.0018394473608161</v>
      </c>
      <c r="O11" s="1468">
        <v>1.0018394473608161</v>
      </c>
    </row>
    <row r="12" spans="2:15">
      <c r="B12" s="1384">
        <v>32782</v>
      </c>
      <c r="C12" s="1385">
        <v>1.13E-4</v>
      </c>
      <c r="D12" s="1385">
        <v>1.4420348808E-3</v>
      </c>
      <c r="E12" s="1385">
        <v>0</v>
      </c>
      <c r="F12" s="1385">
        <v>1</v>
      </c>
      <c r="K12" s="1465">
        <v>42069</v>
      </c>
      <c r="L12" s="1466" t="s">
        <v>2127</v>
      </c>
      <c r="M12" s="1467">
        <v>4.7279000000000002E-2</v>
      </c>
      <c r="N12" s="1468">
        <v>1.0023131070331337</v>
      </c>
      <c r="O12" s="1468">
        <v>1.0023131070331337</v>
      </c>
    </row>
    <row r="13" spans="2:15">
      <c r="B13" s="1384">
        <v>32813</v>
      </c>
      <c r="C13" s="1385">
        <v>1.5873999999999999E-4</v>
      </c>
      <c r="D13" s="1385">
        <v>2.1316159802999999E-3</v>
      </c>
      <c r="E13" s="1385">
        <v>0</v>
      </c>
      <c r="F13" s="1385">
        <v>1</v>
      </c>
      <c r="K13" s="1465">
        <v>42070</v>
      </c>
      <c r="L13" s="1466"/>
      <c r="M13" s="1467">
        <v>0</v>
      </c>
      <c r="N13" s="1468">
        <v>1.0023131070331337</v>
      </c>
      <c r="O13" s="1468">
        <v>1.0023131070331337</v>
      </c>
    </row>
    <row r="14" spans="2:15">
      <c r="B14" s="1384">
        <v>32843</v>
      </c>
      <c r="C14" s="1385">
        <v>2.3356000000000001E-4</v>
      </c>
      <c r="D14" s="1385">
        <v>3.2293981927000001E-3</v>
      </c>
      <c r="E14" s="1385">
        <v>0</v>
      </c>
      <c r="F14" s="1385">
        <v>1</v>
      </c>
      <c r="K14" s="1465">
        <v>42071</v>
      </c>
      <c r="L14" s="1466"/>
      <c r="M14" s="1467">
        <v>0</v>
      </c>
      <c r="N14" s="1468">
        <v>1.0023131070331337</v>
      </c>
      <c r="O14" s="1468">
        <v>1.0023131070331337</v>
      </c>
    </row>
    <row r="15" spans="2:15">
      <c r="B15" s="1384">
        <v>32874</v>
      </c>
      <c r="C15" s="1385">
        <v>3.7711E-4</v>
      </c>
      <c r="D15" s="1385">
        <v>5.4108567453999999E-3</v>
      </c>
      <c r="E15" s="1385">
        <v>0</v>
      </c>
      <c r="F15" s="1385">
        <v>1</v>
      </c>
      <c r="K15" s="1465">
        <v>42072</v>
      </c>
      <c r="L15" s="1466" t="s">
        <v>2127</v>
      </c>
      <c r="M15" s="1467">
        <v>4.7279000000000002E-2</v>
      </c>
      <c r="N15" s="1468">
        <v>1.0027869906470077</v>
      </c>
      <c r="O15" s="1468">
        <v>1.0027869906470077</v>
      </c>
    </row>
    <row r="16" spans="2:15">
      <c r="B16" s="1384">
        <v>32905</v>
      </c>
      <c r="C16" s="1385">
        <v>6.8364999999999995E-4</v>
      </c>
      <c r="D16" s="1385">
        <v>9.5084984832999996E-3</v>
      </c>
      <c r="E16" s="1385">
        <v>0</v>
      </c>
      <c r="F16" s="1385">
        <v>1</v>
      </c>
      <c r="K16" s="1465">
        <v>42073</v>
      </c>
      <c r="L16" s="1466" t="s">
        <v>2127</v>
      </c>
      <c r="M16" s="1467">
        <v>4.7279000000000002E-2</v>
      </c>
      <c r="N16" s="1468">
        <v>1.0032610983083157</v>
      </c>
      <c r="O16" s="1468">
        <v>1.0032610983083157</v>
      </c>
    </row>
    <row r="17" spans="2:15">
      <c r="B17" s="1384">
        <v>32933</v>
      </c>
      <c r="C17" s="1385">
        <v>1.2575500000000001E-3</v>
      </c>
      <c r="D17" s="1385">
        <v>1.7342550351000002E-2</v>
      </c>
      <c r="E17" s="1385">
        <v>0</v>
      </c>
      <c r="F17" s="1385">
        <v>1</v>
      </c>
      <c r="K17" s="1465">
        <v>42074</v>
      </c>
      <c r="L17" s="1466" t="s">
        <v>2127</v>
      </c>
      <c r="M17" s="1467">
        <v>4.7279000000000002E-2</v>
      </c>
      <c r="N17" s="1468">
        <v>1.0037354301229848</v>
      </c>
      <c r="O17" s="1468">
        <v>1.0037354301229848</v>
      </c>
    </row>
    <row r="18" spans="2:15">
      <c r="B18" s="1384">
        <v>32964</v>
      </c>
      <c r="C18" s="1385">
        <v>1.61407E-3</v>
      </c>
      <c r="D18" s="1385">
        <v>2.00341140678E-2</v>
      </c>
      <c r="E18" s="1385">
        <v>0</v>
      </c>
      <c r="F18" s="1385">
        <v>1</v>
      </c>
      <c r="K18" s="1465">
        <v>42075</v>
      </c>
      <c r="L18" s="1466" t="s">
        <v>2127</v>
      </c>
      <c r="M18" s="1467">
        <v>4.7279000000000002E-2</v>
      </c>
      <c r="N18" s="1468">
        <v>1.0042099861969926</v>
      </c>
      <c r="O18" s="1468">
        <v>1.0042099861969926</v>
      </c>
    </row>
    <row r="19" spans="2:15">
      <c r="B19" s="1384">
        <v>32994</v>
      </c>
      <c r="C19" s="1385">
        <v>1.70973E-3</v>
      </c>
      <c r="D19" s="1385">
        <v>2.1554703244099999E-2</v>
      </c>
      <c r="E19" s="1385">
        <v>0</v>
      </c>
      <c r="F19" s="1385">
        <v>1</v>
      </c>
      <c r="K19" s="1465">
        <v>42076</v>
      </c>
      <c r="L19" s="1466" t="s">
        <v>2127</v>
      </c>
      <c r="M19" s="1467">
        <v>4.7279000000000002E-2</v>
      </c>
      <c r="N19" s="1468">
        <v>1.0046847666363665</v>
      </c>
      <c r="O19" s="1468">
        <v>1.0046847666363665</v>
      </c>
    </row>
    <row r="20" spans="2:15">
      <c r="B20" s="1384">
        <v>33025</v>
      </c>
      <c r="C20" s="1385">
        <v>1.87962E-3</v>
      </c>
      <c r="D20" s="1385">
        <v>2.4087380951899998E-2</v>
      </c>
      <c r="E20" s="1385">
        <v>0</v>
      </c>
      <c r="F20" s="1385">
        <v>1</v>
      </c>
      <c r="K20" s="1465">
        <v>42077</v>
      </c>
      <c r="L20" s="1466"/>
      <c r="M20" s="1467">
        <v>0</v>
      </c>
      <c r="N20" s="1468">
        <v>1.0046847666363665</v>
      </c>
      <c r="O20" s="1468">
        <v>1.0046847666363665</v>
      </c>
    </row>
    <row r="21" spans="2:15">
      <c r="B21" s="1384">
        <v>33055</v>
      </c>
      <c r="C21" s="1385">
        <v>2.10539E-3</v>
      </c>
      <c r="D21" s="1385">
        <v>2.7199470492E-2</v>
      </c>
      <c r="E21" s="1385">
        <v>0</v>
      </c>
      <c r="F21" s="1385">
        <v>1</v>
      </c>
      <c r="K21" s="1465">
        <v>42078</v>
      </c>
      <c r="L21" s="1466"/>
      <c r="M21" s="1467">
        <v>0</v>
      </c>
      <c r="N21" s="1468">
        <v>1.0046847666363665</v>
      </c>
      <c r="O21" s="1468">
        <v>1.0046847666363665</v>
      </c>
    </row>
    <row r="22" spans="2:15">
      <c r="B22" s="1384">
        <v>33086</v>
      </c>
      <c r="C22" s="1385">
        <v>2.39215E-3</v>
      </c>
      <c r="D22" s="1385">
        <v>3.0702762318699998E-2</v>
      </c>
      <c r="E22" s="1385">
        <v>0</v>
      </c>
      <c r="F22" s="1385">
        <v>1</v>
      </c>
      <c r="K22" s="1465">
        <v>42079</v>
      </c>
      <c r="L22" s="1466" t="s">
        <v>2127</v>
      </c>
      <c r="M22" s="1467">
        <v>4.7279000000000002E-2</v>
      </c>
      <c r="N22" s="1468">
        <v>1.0051597715471845</v>
      </c>
      <c r="O22" s="1468">
        <v>1.0051597715471845</v>
      </c>
    </row>
    <row r="23" spans="2:15">
      <c r="B23" s="1384">
        <v>33117</v>
      </c>
      <c r="C23" s="1385">
        <v>2.6984000000000001E-3</v>
      </c>
      <c r="D23" s="1385">
        <v>3.51270304097E-2</v>
      </c>
      <c r="E23" s="1385">
        <v>0</v>
      </c>
      <c r="F23" s="1385">
        <v>1</v>
      </c>
      <c r="K23" s="1465">
        <v>42080</v>
      </c>
      <c r="L23" s="1466" t="s">
        <v>2127</v>
      </c>
      <c r="M23" s="1467">
        <v>4.7279000000000002E-2</v>
      </c>
      <c r="N23" s="1468">
        <v>1.0056350010355741</v>
      </c>
      <c r="O23" s="1468">
        <v>1.0056350010355741</v>
      </c>
    </row>
    <row r="24" spans="2:15">
      <c r="B24" s="1384">
        <v>33147</v>
      </c>
      <c r="C24" s="1385">
        <v>3.0483699999999999E-3</v>
      </c>
      <c r="D24" s="1385">
        <v>4.0171272055300002E-2</v>
      </c>
      <c r="E24" s="1385">
        <v>0</v>
      </c>
      <c r="F24" s="1385">
        <v>1</v>
      </c>
      <c r="K24" s="1465">
        <v>42081</v>
      </c>
      <c r="L24" s="1466" t="s">
        <v>2127</v>
      </c>
      <c r="M24" s="1467">
        <v>4.7279000000000002E-2</v>
      </c>
      <c r="N24" s="1468">
        <v>1.0061104552077136</v>
      </c>
      <c r="O24" s="1468">
        <v>1.0061104552077136</v>
      </c>
    </row>
    <row r="25" spans="2:15">
      <c r="B25" s="1384">
        <v>33178</v>
      </c>
      <c r="C25" s="1385">
        <v>3.5622900000000001E-3</v>
      </c>
      <c r="D25" s="1385">
        <v>4.6924062784199999E-2</v>
      </c>
      <c r="E25" s="1385">
        <v>0</v>
      </c>
      <c r="F25" s="1385">
        <v>1</v>
      </c>
      <c r="K25" s="1465">
        <v>42082</v>
      </c>
      <c r="L25" s="1466" t="s">
        <v>2127</v>
      </c>
      <c r="M25" s="1467">
        <v>4.7279000000000002E-2</v>
      </c>
      <c r="N25" s="1468">
        <v>1.0065861341698312</v>
      </c>
      <c r="O25" s="1468">
        <v>1.0065861341698312</v>
      </c>
    </row>
    <row r="26" spans="2:15">
      <c r="B26" s="1384">
        <v>33208</v>
      </c>
      <c r="C26" s="1385">
        <v>4.2034799999999999E-3</v>
      </c>
      <c r="D26" s="1385">
        <v>5.5576860018600002E-2</v>
      </c>
      <c r="E26" s="1385">
        <v>0</v>
      </c>
      <c r="F26" s="1385">
        <v>1</v>
      </c>
      <c r="K26" s="1465">
        <v>42083</v>
      </c>
      <c r="L26" s="1466" t="s">
        <v>2127</v>
      </c>
      <c r="M26" s="1467">
        <v>4.7279000000000002E-2</v>
      </c>
      <c r="N26" s="1468">
        <v>1.0070620380282054</v>
      </c>
      <c r="O26" s="1468">
        <v>1.0070620380282054</v>
      </c>
    </row>
    <row r="27" spans="2:15">
      <c r="B27" s="1384">
        <v>33239</v>
      </c>
      <c r="C27" s="1385">
        <v>4.9475200000000004E-3</v>
      </c>
      <c r="D27" s="1385">
        <v>6.7109058472399993E-2</v>
      </c>
      <c r="E27" s="1385">
        <v>0</v>
      </c>
      <c r="F27" s="1385">
        <v>1</v>
      </c>
      <c r="K27" s="1465">
        <v>42084</v>
      </c>
      <c r="L27" s="1466"/>
      <c r="M27" s="1467">
        <v>0</v>
      </c>
      <c r="N27" s="1468">
        <v>1.0070620380282054</v>
      </c>
      <c r="O27" s="1468">
        <v>1.0070620380282054</v>
      </c>
    </row>
    <row r="28" spans="2:15">
      <c r="B28" s="1384">
        <v>33270</v>
      </c>
      <c r="C28" s="1385">
        <v>5.9873900000000004E-3</v>
      </c>
      <c r="D28" s="1385">
        <v>8.1014388849100005E-2</v>
      </c>
      <c r="E28" s="1385">
        <v>0</v>
      </c>
      <c r="F28" s="1385">
        <v>1</v>
      </c>
      <c r="K28" s="1465">
        <v>42085</v>
      </c>
      <c r="L28" s="1466"/>
      <c r="M28" s="1467">
        <v>0</v>
      </c>
      <c r="N28" s="1468">
        <v>1.0070620380282054</v>
      </c>
      <c r="O28" s="1468">
        <v>1.0070620380282054</v>
      </c>
    </row>
    <row r="29" spans="2:15">
      <c r="B29" s="1384">
        <v>33298</v>
      </c>
      <c r="C29" s="1385">
        <v>6.5374099999999996E-3</v>
      </c>
      <c r="D29" s="1385">
        <v>9.0673647120300002E-2</v>
      </c>
      <c r="E29" s="1385">
        <v>0</v>
      </c>
      <c r="F29" s="1385">
        <v>1</v>
      </c>
      <c r="K29" s="1465">
        <v>42086</v>
      </c>
      <c r="L29" s="1466" t="s">
        <v>2127</v>
      </c>
      <c r="M29" s="1467">
        <v>4.7279000000000002E-2</v>
      </c>
      <c r="N29" s="1468">
        <v>1.0075381668891645</v>
      </c>
      <c r="O29" s="1468">
        <v>1.0075381668891645</v>
      </c>
    </row>
    <row r="30" spans="2:15">
      <c r="B30" s="1384">
        <v>33329</v>
      </c>
      <c r="C30" s="1385">
        <v>7.0477600000000001E-3</v>
      </c>
      <c r="D30" s="1385">
        <v>9.5197603525800006E-2</v>
      </c>
      <c r="E30" s="1385">
        <v>0</v>
      </c>
      <c r="F30" s="1385">
        <v>1</v>
      </c>
      <c r="K30" s="1465">
        <v>42087</v>
      </c>
      <c r="L30" s="1466" t="s">
        <v>2127</v>
      </c>
      <c r="M30" s="1467">
        <v>4.7279000000000002E-2</v>
      </c>
      <c r="N30" s="1468">
        <v>1.008014520859088</v>
      </c>
      <c r="O30" s="1468">
        <v>1.008014520859088</v>
      </c>
    </row>
    <row r="31" spans="2:15">
      <c r="B31" s="1384">
        <v>33359</v>
      </c>
      <c r="C31" s="1385">
        <v>7.57502E-3</v>
      </c>
      <c r="D31" s="1385">
        <v>0.10227253780620001</v>
      </c>
      <c r="E31" s="1385">
        <v>0</v>
      </c>
      <c r="F31" s="1385">
        <v>1</v>
      </c>
      <c r="K31" s="1465">
        <v>42088</v>
      </c>
      <c r="L31" s="1466" t="s">
        <v>2127</v>
      </c>
      <c r="M31" s="1467">
        <v>4.7279000000000002E-2</v>
      </c>
      <c r="N31" s="1468">
        <v>1.008491100044405</v>
      </c>
      <c r="O31" s="1468">
        <v>1.008491100044405</v>
      </c>
    </row>
    <row r="32" spans="2:15">
      <c r="B32" s="1384">
        <v>33390</v>
      </c>
      <c r="C32" s="1385">
        <v>8.2174099999999996E-3</v>
      </c>
      <c r="D32" s="1385">
        <v>0.113715813284</v>
      </c>
      <c r="E32" s="1385">
        <v>0</v>
      </c>
      <c r="F32" s="1385">
        <v>1</v>
      </c>
      <c r="K32" s="1465">
        <v>42089</v>
      </c>
      <c r="L32" s="1466" t="s">
        <v>2127</v>
      </c>
      <c r="M32" s="1467">
        <v>4.7279000000000002E-2</v>
      </c>
      <c r="N32" s="1468">
        <v>1.0089679045515949</v>
      </c>
      <c r="O32" s="1468">
        <v>1.0089679045515949</v>
      </c>
    </row>
    <row r="33" spans="2:15">
      <c r="B33" s="1384">
        <v>33420</v>
      </c>
      <c r="C33" s="1385">
        <v>9.3037399999999996E-3</v>
      </c>
      <c r="D33" s="1385">
        <v>0.12782677804270001</v>
      </c>
      <c r="E33" s="1385">
        <v>0</v>
      </c>
      <c r="F33" s="1385">
        <v>1</v>
      </c>
      <c r="K33" s="1465">
        <v>42090</v>
      </c>
      <c r="L33" s="1466" t="s">
        <v>2127</v>
      </c>
      <c r="M33" s="1467">
        <v>4.7279000000000002E-2</v>
      </c>
      <c r="N33" s="1468">
        <v>1.0094449344871876</v>
      </c>
      <c r="O33" s="1468">
        <v>1.0094449344871876</v>
      </c>
    </row>
    <row r="34" spans="2:15">
      <c r="B34" s="1384">
        <v>33451</v>
      </c>
      <c r="C34" s="1385">
        <v>1.072268E-2</v>
      </c>
      <c r="D34" s="1385">
        <v>0.14780665921940001</v>
      </c>
      <c r="E34" s="1386">
        <v>0</v>
      </c>
      <c r="F34" s="1386">
        <v>1</v>
      </c>
      <c r="K34" s="1465">
        <v>42091</v>
      </c>
      <c r="L34" s="1466"/>
      <c r="M34" s="1467">
        <v>0</v>
      </c>
      <c r="N34" s="1468">
        <v>1.0094449344871876</v>
      </c>
      <c r="O34" s="1468">
        <v>1.0094449344871876</v>
      </c>
    </row>
    <row r="35" spans="2:15">
      <c r="B35" s="1384">
        <v>33482</v>
      </c>
      <c r="C35" s="1385">
        <v>1.232337E-2</v>
      </c>
      <c r="D35" s="1385">
        <v>0.17090995992909999</v>
      </c>
      <c r="E35" s="1386">
        <v>0</v>
      </c>
      <c r="F35" s="1386">
        <v>1</v>
      </c>
      <c r="K35" s="1465">
        <v>42092</v>
      </c>
      <c r="L35" s="1466"/>
      <c r="M35" s="1467">
        <v>0</v>
      </c>
      <c r="N35" s="1468">
        <v>1.0094449344871876</v>
      </c>
      <c r="O35" s="1468">
        <v>1.0094449344871876</v>
      </c>
    </row>
    <row r="36" spans="2:15">
      <c r="B36" s="1384">
        <v>33512</v>
      </c>
      <c r="C36" s="1385">
        <v>1.5112230000000001E-2</v>
      </c>
      <c r="D36" s="1385">
        <v>0.20548432454660001</v>
      </c>
      <c r="E36" s="1386">
        <v>0</v>
      </c>
      <c r="F36" s="1386">
        <v>1</v>
      </c>
      <c r="K36" s="1465">
        <v>42093</v>
      </c>
      <c r="L36" s="1466" t="s">
        <v>2127</v>
      </c>
      <c r="M36" s="1467">
        <v>4.7279000000000002E-2</v>
      </c>
      <c r="N36" s="1468">
        <v>1.0099221899577637</v>
      </c>
      <c r="O36" s="1468">
        <v>1.0099221899577637</v>
      </c>
    </row>
    <row r="37" spans="2:15">
      <c r="B37" s="1384">
        <v>33543</v>
      </c>
      <c r="C37" s="1385">
        <v>1.8984250000000001E-2</v>
      </c>
      <c r="D37" s="1385">
        <v>0.2572875157699</v>
      </c>
      <c r="E37" s="1386">
        <v>0</v>
      </c>
      <c r="F37" s="1386">
        <v>1</v>
      </c>
      <c r="K37" s="1465">
        <v>42094</v>
      </c>
      <c r="L37" s="1466" t="s">
        <v>2127</v>
      </c>
      <c r="M37" s="1467">
        <v>4.7279000000000002E-2</v>
      </c>
      <c r="N37" s="1468">
        <v>1.0103996710699537</v>
      </c>
      <c r="O37" s="1468">
        <v>1.0103996710699537</v>
      </c>
    </row>
    <row r="38" spans="2:15">
      <c r="B38" s="1384">
        <v>33573</v>
      </c>
      <c r="C38" s="1385">
        <v>2.347107E-2</v>
      </c>
      <c r="D38" s="1385">
        <v>0.31828867732630001</v>
      </c>
      <c r="E38" s="1386">
        <v>0</v>
      </c>
      <c r="F38" s="1386">
        <v>1</v>
      </c>
      <c r="K38" s="1465">
        <v>42095</v>
      </c>
      <c r="L38" s="1466" t="s">
        <v>2127</v>
      </c>
      <c r="M38" s="1467">
        <v>4.7279000000000002E-2</v>
      </c>
      <c r="N38" s="1468">
        <v>1.0108773779304387</v>
      </c>
      <c r="O38" s="1468">
        <v>1.0108773779304387</v>
      </c>
    </row>
    <row r="39" spans="2:15">
      <c r="B39" s="1384">
        <v>33604</v>
      </c>
      <c r="C39" s="1385">
        <v>2.9000140000000001E-2</v>
      </c>
      <c r="D39" s="1385">
        <v>0.40085366056990002</v>
      </c>
      <c r="E39" s="1386">
        <v>0</v>
      </c>
      <c r="F39" s="1386">
        <v>1</v>
      </c>
      <c r="K39" s="1465">
        <v>42096</v>
      </c>
      <c r="L39" s="1466" t="s">
        <v>2127</v>
      </c>
      <c r="M39" s="1467">
        <v>4.7279000000000002E-2</v>
      </c>
      <c r="N39" s="1468">
        <v>1.0113553106459503</v>
      </c>
      <c r="O39" s="1468">
        <v>1.0113553106459503</v>
      </c>
    </row>
    <row r="40" spans="2:15">
      <c r="B40" s="1384">
        <v>33635</v>
      </c>
      <c r="C40" s="1385">
        <v>3.7078809999999997E-2</v>
      </c>
      <c r="D40" s="1385">
        <v>0.49834103072840003</v>
      </c>
      <c r="E40" s="1386">
        <v>0</v>
      </c>
      <c r="F40" s="1386">
        <v>1</v>
      </c>
      <c r="K40" s="1465">
        <v>42097</v>
      </c>
      <c r="L40" s="1466"/>
      <c r="M40" s="1467">
        <v>0</v>
      </c>
      <c r="N40" s="1468">
        <v>1.0113553106459503</v>
      </c>
      <c r="O40" s="1468">
        <v>1.0113553106459503</v>
      </c>
    </row>
    <row r="41" spans="2:15">
      <c r="B41" s="1384">
        <v>33664</v>
      </c>
      <c r="C41" s="1385">
        <v>4.501144E-2</v>
      </c>
      <c r="D41" s="1385">
        <v>0.60498746741809994</v>
      </c>
      <c r="E41" s="1386">
        <v>0</v>
      </c>
      <c r="F41" s="1386">
        <v>1</v>
      </c>
      <c r="K41" s="1465">
        <v>42098</v>
      </c>
      <c r="L41" s="1466"/>
      <c r="M41" s="1467">
        <v>0</v>
      </c>
      <c r="N41" s="1468">
        <v>1.0113553106459503</v>
      </c>
      <c r="O41" s="1468">
        <v>1.0113553106459503</v>
      </c>
    </row>
    <row r="42" spans="2:15">
      <c r="B42" s="1384">
        <v>33695</v>
      </c>
      <c r="C42" s="1385">
        <v>5.3986060000000002E-2</v>
      </c>
      <c r="D42" s="1385">
        <v>0.72556146522830001</v>
      </c>
      <c r="E42" s="1386">
        <v>0</v>
      </c>
      <c r="F42" s="1386">
        <v>1</v>
      </c>
      <c r="K42" s="1465">
        <v>42099</v>
      </c>
      <c r="L42" s="1466"/>
      <c r="M42" s="1467">
        <v>0</v>
      </c>
      <c r="N42" s="1468">
        <v>1.0113553106459503</v>
      </c>
      <c r="O42" s="1468">
        <v>1.0113553106459503</v>
      </c>
    </row>
    <row r="43" spans="2:15">
      <c r="B43" s="1384">
        <v>33725</v>
      </c>
      <c r="C43" s="1385">
        <v>6.5012799999999996E-2</v>
      </c>
      <c r="D43" s="1385">
        <v>0.90593616441860003</v>
      </c>
      <c r="E43" s="1386">
        <v>0</v>
      </c>
      <c r="F43" s="1386">
        <v>1</v>
      </c>
      <c r="K43" s="1465">
        <v>42100</v>
      </c>
      <c r="L43" s="1466" t="s">
        <v>2127</v>
      </c>
      <c r="M43" s="1467">
        <v>4.7279000000000002E-2</v>
      </c>
      <c r="N43" s="1468">
        <v>1.0118334693232705</v>
      </c>
      <c r="O43" s="1468">
        <v>1.0118334693232705</v>
      </c>
    </row>
    <row r="44" spans="2:15">
      <c r="B44" s="1384">
        <v>33756</v>
      </c>
      <c r="C44" s="1385">
        <v>8.0361459999999996E-2</v>
      </c>
      <c r="D44" s="1385">
        <v>1.0890285720637001</v>
      </c>
      <c r="E44" s="1386">
        <v>0</v>
      </c>
      <c r="F44" s="1386">
        <v>1</v>
      </c>
      <c r="K44" s="1465">
        <v>42101</v>
      </c>
      <c r="L44" s="1466" t="s">
        <v>2127</v>
      </c>
      <c r="M44" s="1467">
        <v>4.7279000000000002E-2</v>
      </c>
      <c r="N44" s="1468">
        <v>1.0123118540692317</v>
      </c>
      <c r="O44" s="1468">
        <v>1.0123118540692317</v>
      </c>
    </row>
    <row r="45" spans="2:15">
      <c r="B45" s="1384">
        <v>33786</v>
      </c>
      <c r="C45" s="1385">
        <v>9.7908469999999997E-2</v>
      </c>
      <c r="D45" s="1385">
        <v>1.3267641484791</v>
      </c>
      <c r="E45" s="1386">
        <v>0</v>
      </c>
      <c r="F45" s="1386">
        <v>1</v>
      </c>
      <c r="K45" s="1465">
        <v>42102</v>
      </c>
      <c r="L45" s="1466" t="s">
        <v>2127</v>
      </c>
      <c r="M45" s="1467">
        <v>4.7279000000000002E-2</v>
      </c>
      <c r="N45" s="1468">
        <v>1.0127904649907171</v>
      </c>
      <c r="O45" s="1468">
        <v>1.0127904649907171</v>
      </c>
    </row>
    <row r="46" spans="2:15">
      <c r="B46" s="1384">
        <v>33817</v>
      </c>
      <c r="C46" s="1385">
        <v>0.12202180999999999</v>
      </c>
      <c r="D46" s="1385">
        <v>1.6205100844213001</v>
      </c>
      <c r="E46" s="1386">
        <v>0</v>
      </c>
      <c r="F46" s="1386">
        <v>1</v>
      </c>
      <c r="K46" s="1465">
        <v>42103</v>
      </c>
      <c r="L46" s="1466" t="s">
        <v>2127</v>
      </c>
      <c r="M46" s="1467">
        <v>4.7279000000000002E-2</v>
      </c>
      <c r="N46" s="1468">
        <v>1.0132693021946599</v>
      </c>
      <c r="O46" s="1468">
        <v>1.0132693021946599</v>
      </c>
    </row>
    <row r="47" spans="2:15">
      <c r="B47" s="1384">
        <v>33848</v>
      </c>
      <c r="C47" s="1385">
        <v>0.15285811999999999</v>
      </c>
      <c r="D47" s="1385">
        <v>2.0196408623306001</v>
      </c>
      <c r="E47" s="1386">
        <v>0</v>
      </c>
      <c r="F47" s="1386">
        <v>1</v>
      </c>
      <c r="K47" s="1465">
        <v>42104</v>
      </c>
      <c r="L47" s="1466" t="s">
        <v>2127</v>
      </c>
      <c r="M47" s="1467">
        <v>4.7279000000000002E-2</v>
      </c>
      <c r="N47" s="1468">
        <v>1.0137483657880444</v>
      </c>
      <c r="O47" s="1468">
        <v>1.0137483657880444</v>
      </c>
    </row>
    <row r="48" spans="2:15">
      <c r="B48" s="1384">
        <v>33878</v>
      </c>
      <c r="C48" s="1385">
        <v>0.19376498</v>
      </c>
      <c r="D48" s="1385">
        <v>2.5293973801068002</v>
      </c>
      <c r="E48" s="1386">
        <v>0</v>
      </c>
      <c r="F48" s="1386">
        <v>1</v>
      </c>
      <c r="K48" s="1465">
        <v>42105</v>
      </c>
      <c r="L48" s="1466"/>
      <c r="M48" s="1467">
        <v>0</v>
      </c>
      <c r="N48" s="1468">
        <v>1.0137483657880444</v>
      </c>
      <c r="O48" s="1468">
        <v>1.0137483657880444</v>
      </c>
    </row>
    <row r="49" spans="2:15">
      <c r="B49" s="1384">
        <v>33909</v>
      </c>
      <c r="C49" s="1385">
        <v>0.23916162999999999</v>
      </c>
      <c r="D49" s="1385">
        <v>3.0982598885127999</v>
      </c>
      <c r="E49" s="1386">
        <v>0</v>
      </c>
      <c r="F49" s="1386">
        <v>1</v>
      </c>
      <c r="K49" s="1465">
        <v>42106</v>
      </c>
      <c r="L49" s="1466"/>
      <c r="M49" s="1467">
        <v>0</v>
      </c>
      <c r="N49" s="1468">
        <v>1.0137483657880444</v>
      </c>
      <c r="O49" s="1468">
        <v>1.0137483657880444</v>
      </c>
    </row>
    <row r="50" spans="2:15">
      <c r="B50" s="1384">
        <v>33939</v>
      </c>
      <c r="C50" s="1385">
        <v>0.29913278999999998</v>
      </c>
      <c r="D50" s="1385">
        <v>3.8802596550900001</v>
      </c>
      <c r="E50" s="1386">
        <v>0</v>
      </c>
      <c r="F50" s="1386">
        <v>1</v>
      </c>
      <c r="K50" s="1465">
        <v>42107</v>
      </c>
      <c r="L50" s="1466" t="s">
        <v>2127</v>
      </c>
      <c r="M50" s="1467">
        <v>4.7279000000000002E-2</v>
      </c>
      <c r="N50" s="1468">
        <v>1.0142276558779053</v>
      </c>
      <c r="O50" s="1468">
        <v>1.0142276558779053</v>
      </c>
    </row>
    <row r="51" spans="2:15">
      <c r="B51" s="1384">
        <v>33970</v>
      </c>
      <c r="C51" s="1385">
        <v>0.37638683000000001</v>
      </c>
      <c r="D51" s="1385">
        <v>5.0579166458253004</v>
      </c>
      <c r="E51" s="1386">
        <v>0</v>
      </c>
      <c r="F51" s="1386">
        <v>1</v>
      </c>
      <c r="K51" s="1465">
        <v>42108</v>
      </c>
      <c r="L51" s="1466" t="s">
        <v>2127</v>
      </c>
      <c r="M51" s="1467">
        <v>4.7279000000000002E-2</v>
      </c>
      <c r="N51" s="1468">
        <v>1.0147071725713277</v>
      </c>
      <c r="O51" s="1468">
        <v>1.0147071725713277</v>
      </c>
    </row>
    <row r="52" spans="2:15">
      <c r="B52" s="1384">
        <v>34001</v>
      </c>
      <c r="C52" s="1385">
        <v>0.48335073000000001</v>
      </c>
      <c r="D52" s="1385">
        <v>6.3213843084293</v>
      </c>
      <c r="E52" s="1386">
        <v>0</v>
      </c>
      <c r="F52" s="1386">
        <v>1</v>
      </c>
      <c r="K52" s="1465">
        <v>42109</v>
      </c>
      <c r="L52" s="1466" t="s">
        <v>2127</v>
      </c>
      <c r="M52" s="1467">
        <v>4.7279000000000002E-2</v>
      </c>
      <c r="N52" s="1468">
        <v>1.0151869159754476</v>
      </c>
      <c r="O52" s="1468">
        <v>1.0151869159754476</v>
      </c>
    </row>
    <row r="53" spans="2:15">
      <c r="B53" s="1384">
        <v>34029</v>
      </c>
      <c r="C53" s="1385">
        <v>0.61023090000000002</v>
      </c>
      <c r="D53" s="1385">
        <v>8.0445948724788998</v>
      </c>
      <c r="E53" s="1386">
        <v>0</v>
      </c>
      <c r="F53" s="1386">
        <v>1</v>
      </c>
      <c r="K53" s="1465">
        <v>42110</v>
      </c>
      <c r="L53" s="1466" t="s">
        <v>2127</v>
      </c>
      <c r="M53" s="1467">
        <v>4.7279000000000002E-2</v>
      </c>
      <c r="N53" s="1468">
        <v>1.0156668861974516</v>
      </c>
      <c r="O53" s="1468">
        <v>1.0156668861974516</v>
      </c>
    </row>
    <row r="54" spans="2:15">
      <c r="B54" s="1384">
        <v>34060</v>
      </c>
      <c r="C54" s="1385">
        <v>0.78617482000000005</v>
      </c>
      <c r="D54" s="1385">
        <v>10.2769672819025</v>
      </c>
      <c r="E54" s="1386">
        <v>0</v>
      </c>
      <c r="F54" s="1386">
        <v>1</v>
      </c>
      <c r="K54" s="1465">
        <v>42111</v>
      </c>
      <c r="L54" s="1466" t="s">
        <v>2127</v>
      </c>
      <c r="M54" s="1467">
        <v>4.7279000000000002E-2</v>
      </c>
      <c r="N54" s="1468">
        <v>1.0161470833445767</v>
      </c>
      <c r="O54" s="1468">
        <v>1.0161470833445767</v>
      </c>
    </row>
    <row r="55" spans="2:15">
      <c r="B55" s="1384">
        <v>34090</v>
      </c>
      <c r="C55" s="1385">
        <v>1.01968087</v>
      </c>
      <c r="D55" s="1385">
        <v>13.1226581300609</v>
      </c>
      <c r="E55" s="1386">
        <v>0</v>
      </c>
      <c r="F55" s="1386">
        <v>1</v>
      </c>
      <c r="K55" s="1465">
        <v>42112</v>
      </c>
      <c r="L55" s="1466"/>
      <c r="M55" s="1467">
        <v>0</v>
      </c>
      <c r="N55" s="1468">
        <v>1.0161470833445767</v>
      </c>
      <c r="O55" s="1468">
        <v>1.0161470833445767</v>
      </c>
    </row>
    <row r="56" spans="2:15">
      <c r="B56" s="1384">
        <v>34121</v>
      </c>
      <c r="C56" s="1385">
        <v>1.3408208699999999</v>
      </c>
      <c r="D56" s="1385">
        <v>17.068642979808899</v>
      </c>
      <c r="E56" s="1386">
        <v>0</v>
      </c>
      <c r="F56" s="1386">
        <v>1</v>
      </c>
      <c r="K56" s="1465">
        <v>42113</v>
      </c>
      <c r="L56" s="1466"/>
      <c r="M56" s="1467">
        <v>0</v>
      </c>
      <c r="N56" s="1468">
        <v>1.0161470833445767</v>
      </c>
      <c r="O56" s="1468">
        <v>1.0161470833445767</v>
      </c>
    </row>
    <row r="57" spans="2:15">
      <c r="B57" s="1384">
        <v>34151</v>
      </c>
      <c r="C57" s="1385">
        <v>1.75984608</v>
      </c>
      <c r="D57" s="1385">
        <v>22.312130761236201</v>
      </c>
      <c r="E57" s="1386">
        <v>0</v>
      </c>
      <c r="F57" s="1386">
        <v>1</v>
      </c>
      <c r="K57" s="1465">
        <v>42114</v>
      </c>
      <c r="L57" s="1466" t="s">
        <v>2127</v>
      </c>
      <c r="M57" s="1467">
        <v>4.7279000000000002E-2</v>
      </c>
      <c r="N57" s="1468">
        <v>1.0166275075241111</v>
      </c>
      <c r="O57" s="1468">
        <v>1.0166275075241111</v>
      </c>
    </row>
    <row r="58" spans="2:15">
      <c r="B58" s="1384">
        <v>34182</v>
      </c>
      <c r="C58" s="1385">
        <v>2.31923637</v>
      </c>
      <c r="D58" s="1385">
        <v>29.666210936414501</v>
      </c>
      <c r="E58" s="1386">
        <v>0</v>
      </c>
      <c r="F58" s="1386">
        <v>1</v>
      </c>
      <c r="K58" s="1465">
        <v>42115</v>
      </c>
      <c r="L58" s="1466"/>
      <c r="M58" s="1467">
        <v>0</v>
      </c>
      <c r="N58" s="1468">
        <v>1.0166275075241111</v>
      </c>
      <c r="O58" s="1468">
        <v>1.0166275075241111</v>
      </c>
    </row>
    <row r="59" spans="2:15">
      <c r="B59" s="1384">
        <v>34213</v>
      </c>
      <c r="C59" s="1385">
        <v>3.1375231000000001</v>
      </c>
      <c r="D59" s="1385">
        <v>40.254080730946797</v>
      </c>
      <c r="E59" s="1386">
        <v>0</v>
      </c>
      <c r="F59" s="1386">
        <v>1</v>
      </c>
      <c r="K59" s="1465">
        <v>42116</v>
      </c>
      <c r="L59" s="1466" t="s">
        <v>2127</v>
      </c>
      <c r="M59" s="1467">
        <v>4.7279000000000002E-2</v>
      </c>
      <c r="N59" s="1468">
        <v>1.0171081588433935</v>
      </c>
      <c r="O59" s="1468">
        <v>1.0171081588433935</v>
      </c>
    </row>
    <row r="60" spans="2:15">
      <c r="B60" s="1384">
        <v>34243</v>
      </c>
      <c r="C60" s="1385">
        <v>4.2367972299999996</v>
      </c>
      <c r="D60" s="1385">
        <v>53.908264834853298</v>
      </c>
      <c r="E60" s="1386">
        <v>0</v>
      </c>
      <c r="F60" s="1386">
        <v>1</v>
      </c>
      <c r="K60" s="1465">
        <v>42117</v>
      </c>
      <c r="L60" s="1466" t="s">
        <v>2127</v>
      </c>
      <c r="M60" s="1467">
        <v>4.7279000000000002E-2</v>
      </c>
      <c r="N60" s="1468">
        <v>1.0175890374098129</v>
      </c>
      <c r="O60" s="1468">
        <v>1.0175890374098129</v>
      </c>
    </row>
    <row r="61" spans="2:15">
      <c r="B61" s="1384">
        <v>34274</v>
      </c>
      <c r="C61" s="1385">
        <v>5.7685216500000003</v>
      </c>
      <c r="D61" s="1385">
        <v>73.078046584524003</v>
      </c>
      <c r="E61" s="1386">
        <v>0</v>
      </c>
      <c r="F61" s="1386">
        <v>1</v>
      </c>
      <c r="K61" s="1465">
        <v>42118</v>
      </c>
      <c r="L61" s="1466" t="s">
        <v>2127</v>
      </c>
      <c r="M61" s="1467">
        <v>4.7279000000000002E-2</v>
      </c>
      <c r="N61" s="1468">
        <v>1.0180701433308097</v>
      </c>
      <c r="O61" s="1468">
        <v>1.0180701433308097</v>
      </c>
    </row>
    <row r="62" spans="2:15">
      <c r="B62" s="1384">
        <v>34304</v>
      </c>
      <c r="C62" s="1385">
        <v>7.9792505900000004</v>
      </c>
      <c r="D62" s="1385">
        <v>100</v>
      </c>
      <c r="E62" s="1386">
        <v>0</v>
      </c>
      <c r="F62" s="1386">
        <v>1</v>
      </c>
      <c r="K62" s="1465">
        <v>42119</v>
      </c>
      <c r="L62" s="1466"/>
      <c r="M62" s="1467">
        <v>0</v>
      </c>
      <c r="N62" s="1468">
        <v>1.0180701433308097</v>
      </c>
      <c r="O62" s="1468">
        <v>1.0180701433308097</v>
      </c>
    </row>
    <row r="63" spans="2:15">
      <c r="B63" s="1384">
        <v>34335</v>
      </c>
      <c r="C63" s="1385">
        <v>11.0967647</v>
      </c>
      <c r="D63" s="1385">
        <v>141.31</v>
      </c>
      <c r="E63" s="1386">
        <v>0</v>
      </c>
      <c r="F63" s="1386">
        <v>1</v>
      </c>
      <c r="K63" s="1465">
        <v>42120</v>
      </c>
      <c r="L63" s="1466"/>
      <c r="M63" s="1467">
        <v>0</v>
      </c>
      <c r="N63" s="1468">
        <v>1.0180701433308097</v>
      </c>
      <c r="O63" s="1468">
        <v>1.0180701433308097</v>
      </c>
    </row>
    <row r="64" spans="2:15">
      <c r="B64" s="1384">
        <v>34366</v>
      </c>
      <c r="C64" s="1385">
        <v>15.62186911</v>
      </c>
      <c r="D64" s="1385">
        <v>198.22</v>
      </c>
      <c r="E64" s="1386">
        <v>0</v>
      </c>
      <c r="F64" s="1386">
        <v>1</v>
      </c>
      <c r="K64" s="1465">
        <v>42121</v>
      </c>
      <c r="L64" s="1466" t="s">
        <v>2127</v>
      </c>
      <c r="M64" s="1467">
        <v>4.7314000000000002E-2</v>
      </c>
      <c r="N64" s="1468">
        <v>1.0185518330384251</v>
      </c>
      <c r="O64" s="1468">
        <v>1.0185518330384251</v>
      </c>
    </row>
    <row r="65" spans="2:15">
      <c r="B65" s="1384">
        <v>34394</v>
      </c>
      <c r="C65" s="1385">
        <v>22.762782099999999</v>
      </c>
      <c r="D65" s="1385">
        <v>282.95999999999998</v>
      </c>
      <c r="E65" s="1386">
        <v>0</v>
      </c>
      <c r="F65" s="1386">
        <v>1</v>
      </c>
      <c r="K65" s="1465">
        <v>42122</v>
      </c>
      <c r="L65" s="1466" t="s">
        <v>2127</v>
      </c>
      <c r="M65" s="1467">
        <v>4.7350000000000003E-2</v>
      </c>
      <c r="N65" s="1468">
        <v>1.0190341173313688</v>
      </c>
      <c r="O65" s="1468">
        <v>1.0190341173313688</v>
      </c>
    </row>
    <row r="66" spans="2:15">
      <c r="B66" s="1384">
        <v>34425</v>
      </c>
      <c r="C66" s="1385">
        <v>32.074938510000003</v>
      </c>
      <c r="D66" s="1385">
        <v>403.73</v>
      </c>
      <c r="E66" s="1386">
        <v>0</v>
      </c>
      <c r="F66" s="1386">
        <v>1</v>
      </c>
      <c r="K66" s="1465">
        <v>42123</v>
      </c>
      <c r="L66" s="1466" t="s">
        <v>2127</v>
      </c>
      <c r="M66" s="1467">
        <v>4.7350000000000003E-2</v>
      </c>
      <c r="N66" s="1468">
        <v>1.0195166299859253</v>
      </c>
      <c r="O66" s="1468">
        <v>1.0195166299859253</v>
      </c>
    </row>
    <row r="67" spans="2:15">
      <c r="B67" s="1384">
        <v>34455</v>
      </c>
      <c r="C67" s="1385">
        <v>45.731576959999998</v>
      </c>
      <c r="D67" s="1385">
        <v>581.49</v>
      </c>
      <c r="E67" s="1386">
        <v>0</v>
      </c>
      <c r="F67" s="1386">
        <v>1</v>
      </c>
      <c r="K67" s="1465">
        <v>42124</v>
      </c>
      <c r="L67" s="1466" t="s">
        <v>2127</v>
      </c>
      <c r="M67" s="1467">
        <v>4.9036999999999997E-2</v>
      </c>
      <c r="N67" s="1468">
        <v>1.0200165703557715</v>
      </c>
      <c r="O67" s="1468">
        <v>1.0200165703557715</v>
      </c>
    </row>
    <row r="68" spans="2:15">
      <c r="B68" s="1384">
        <v>34486</v>
      </c>
      <c r="C68" s="1385">
        <v>66.408212939999999</v>
      </c>
      <c r="D68" s="1385">
        <v>857.29</v>
      </c>
      <c r="E68" s="1386">
        <v>0</v>
      </c>
      <c r="F68" s="1386">
        <v>1</v>
      </c>
      <c r="K68" s="1465">
        <v>42125</v>
      </c>
      <c r="L68" s="1466"/>
      <c r="M68" s="1467">
        <v>0</v>
      </c>
      <c r="N68" s="1468">
        <v>1.0200165703557715</v>
      </c>
      <c r="O68" s="1468">
        <v>1.0200165703557715</v>
      </c>
    </row>
    <row r="69" spans="2:15">
      <c r="B69" s="1384">
        <v>34516</v>
      </c>
      <c r="C69" s="1385">
        <v>92.968426030000003</v>
      </c>
      <c r="D69" s="1385">
        <v>915.93</v>
      </c>
      <c r="E69" s="1386">
        <v>0</v>
      </c>
      <c r="F69" s="1386">
        <v>1</v>
      </c>
      <c r="K69" s="1465">
        <v>42126</v>
      </c>
      <c r="L69" s="1466"/>
      <c r="M69" s="1467">
        <v>0</v>
      </c>
      <c r="N69" s="1468">
        <v>1.0200165703557715</v>
      </c>
      <c r="O69" s="1468">
        <v>1.0200165703557715</v>
      </c>
    </row>
    <row r="70" spans="2:15">
      <c r="B70" s="1384">
        <v>34547</v>
      </c>
      <c r="C70" s="1385">
        <v>100</v>
      </c>
      <c r="D70" s="1385">
        <v>932.97</v>
      </c>
      <c r="E70" s="1386">
        <v>1.0417031360600404</v>
      </c>
      <c r="F70" s="1386">
        <v>1.0417031360600404</v>
      </c>
      <c r="K70" s="1465">
        <v>42127</v>
      </c>
      <c r="L70" s="1466"/>
      <c r="M70" s="1467">
        <v>0</v>
      </c>
      <c r="N70" s="1468">
        <v>1.0200165703557715</v>
      </c>
      <c r="O70" s="1468">
        <v>1.0200165703557715</v>
      </c>
    </row>
    <row r="71" spans="2:15">
      <c r="B71" s="1384">
        <v>34578</v>
      </c>
      <c r="C71" s="1385">
        <v>101.751</v>
      </c>
      <c r="D71" s="1385">
        <v>947.24</v>
      </c>
      <c r="E71" s="1386">
        <v>1.040191380612066</v>
      </c>
      <c r="F71" s="1386">
        <v>1.0835706232862121</v>
      </c>
      <c r="K71" s="1465">
        <v>42128</v>
      </c>
      <c r="L71" s="1466" t="s">
        <v>2127</v>
      </c>
      <c r="M71" s="1467">
        <v>4.9036999999999997E-2</v>
      </c>
      <c r="N71" s="1468">
        <v>1.020516755881377</v>
      </c>
      <c r="O71" s="1468">
        <v>1.020516755881377</v>
      </c>
    </row>
    <row r="72" spans="2:15">
      <c r="B72" s="1384">
        <v>34608</v>
      </c>
      <c r="C72" s="1385">
        <v>103.602</v>
      </c>
      <c r="D72" s="1385">
        <v>972.06</v>
      </c>
      <c r="E72" s="1386">
        <v>1.0400235119965635</v>
      </c>
      <c r="F72" s="1386">
        <v>1.1269389251264317</v>
      </c>
      <c r="K72" s="1465">
        <v>42129</v>
      </c>
      <c r="L72" s="1466" t="s">
        <v>2127</v>
      </c>
      <c r="M72" s="1467">
        <v>4.9036999999999997E-2</v>
      </c>
      <c r="N72" s="1468">
        <v>1.0210171866829587</v>
      </c>
      <c r="O72" s="1468">
        <v>1.0210171866829587</v>
      </c>
    </row>
    <row r="73" spans="2:15">
      <c r="B73" s="1384">
        <v>34639</v>
      </c>
      <c r="C73" s="1385">
        <v>106.553</v>
      </c>
      <c r="D73" s="1385">
        <v>999.37</v>
      </c>
      <c r="E73" s="1386">
        <v>1.0448704061969656</v>
      </c>
      <c r="F73" s="1386">
        <v>1.1775051324560264</v>
      </c>
      <c r="K73" s="1465">
        <v>42130</v>
      </c>
      <c r="L73" s="1466" t="s">
        <v>2127</v>
      </c>
      <c r="M73" s="1467">
        <v>4.9036999999999997E-2</v>
      </c>
      <c r="N73" s="1468">
        <v>1.0215178628807926</v>
      </c>
      <c r="O73" s="1468">
        <v>1.0215178628807926</v>
      </c>
    </row>
    <row r="74" spans="2:15">
      <c r="B74" s="1384">
        <v>34669</v>
      </c>
      <c r="C74" s="1385">
        <v>107.45</v>
      </c>
      <c r="D74" s="1385">
        <v>1016.46</v>
      </c>
      <c r="E74" s="1386">
        <v>1.0379749903132509</v>
      </c>
      <c r="F74" s="1386">
        <v>1.2222208784548472</v>
      </c>
      <c r="K74" s="1465">
        <v>42131</v>
      </c>
      <c r="L74" s="1466" t="s">
        <v>2127</v>
      </c>
      <c r="M74" s="1467">
        <v>4.9036999999999997E-2</v>
      </c>
      <c r="N74" s="1468">
        <v>1.0220187845952136</v>
      </c>
      <c r="O74" s="1468">
        <v>1.0220187845952136</v>
      </c>
    </row>
    <row r="75" spans="2:15">
      <c r="B75" s="1384">
        <v>34700</v>
      </c>
      <c r="C75" s="1385">
        <v>108.44199999999999</v>
      </c>
      <c r="D75" s="1385">
        <v>1033.74</v>
      </c>
      <c r="E75" s="1386">
        <v>1.033745155557255</v>
      </c>
      <c r="F75" s="1386">
        <v>1.2634649121236308</v>
      </c>
      <c r="K75" s="1465">
        <v>42132</v>
      </c>
      <c r="L75" s="1466" t="s">
        <v>2127</v>
      </c>
      <c r="M75" s="1467">
        <v>4.9036999999999997E-2</v>
      </c>
      <c r="N75" s="1468">
        <v>1.0225199519466155</v>
      </c>
      <c r="O75" s="1468">
        <v>1.0225199519466155</v>
      </c>
    </row>
    <row r="76" spans="2:15">
      <c r="B76" s="1384">
        <v>34731</v>
      </c>
      <c r="C76" s="1385">
        <v>109.9455</v>
      </c>
      <c r="D76" s="1385">
        <v>1044.28</v>
      </c>
      <c r="E76" s="1386">
        <v>1.0361946548110796</v>
      </c>
      <c r="F76" s="1386">
        <v>1.3091955884838566</v>
      </c>
      <c r="K76" s="1465">
        <v>42133</v>
      </c>
      <c r="L76" s="1466"/>
      <c r="M76" s="1467">
        <v>0</v>
      </c>
      <c r="N76" s="1468">
        <v>1.0225199519466155</v>
      </c>
      <c r="O76" s="1468">
        <v>1.0225199519466155</v>
      </c>
    </row>
    <row r="77" spans="2:15">
      <c r="B77" s="1384">
        <v>34759</v>
      </c>
      <c r="C77" s="1385">
        <v>111.178</v>
      </c>
      <c r="D77" s="1385">
        <v>1060.47</v>
      </c>
      <c r="E77" s="1386">
        <v>1.0426211014987152</v>
      </c>
      <c r="F77" s="1386">
        <v>1.3649949465422972</v>
      </c>
      <c r="K77" s="1465">
        <v>42134</v>
      </c>
      <c r="L77" s="1466"/>
      <c r="M77" s="1467">
        <v>0</v>
      </c>
      <c r="N77" s="1468">
        <v>1.0225199519466155</v>
      </c>
      <c r="O77" s="1468">
        <v>1.0225199519466155</v>
      </c>
    </row>
    <row r="78" spans="2:15">
      <c r="B78" s="1384">
        <v>34790</v>
      </c>
      <c r="C78" s="1385">
        <v>113.518</v>
      </c>
      <c r="D78" s="1385">
        <v>1086.24</v>
      </c>
      <c r="E78" s="1386">
        <v>1.0502446731743562</v>
      </c>
      <c r="F78" s="1386">
        <v>1.4335786715159629</v>
      </c>
      <c r="K78" s="1465">
        <v>42135</v>
      </c>
      <c r="L78" s="1466" t="s">
        <v>2127</v>
      </c>
      <c r="M78" s="1467">
        <v>4.9036999999999997E-2</v>
      </c>
      <c r="N78" s="1468">
        <v>1.0230213650554516</v>
      </c>
      <c r="O78" s="1468">
        <v>1.0230213650554516</v>
      </c>
    </row>
    <row r="79" spans="2:15">
      <c r="B79" s="1384">
        <v>34820</v>
      </c>
      <c r="C79" s="1385">
        <v>114.17100000000001</v>
      </c>
      <c r="D79" s="1385">
        <v>1115.24</v>
      </c>
      <c r="E79" s="1386">
        <v>1.0450356278102417</v>
      </c>
      <c r="F79" s="1386">
        <v>1.4981407870030565</v>
      </c>
      <c r="K79" s="1465">
        <v>42136</v>
      </c>
      <c r="L79" s="1466" t="s">
        <v>2127</v>
      </c>
      <c r="M79" s="1467">
        <v>4.9036999999999997E-2</v>
      </c>
      <c r="N79" s="1468">
        <v>1.0235230240422339</v>
      </c>
      <c r="O79" s="1468">
        <v>1.0235230240422339</v>
      </c>
    </row>
    <row r="80" spans="2:15">
      <c r="B80" s="1384">
        <v>34851</v>
      </c>
      <c r="C80" s="1385">
        <v>116.98399999999999</v>
      </c>
      <c r="D80" s="1385">
        <v>1140.44</v>
      </c>
      <c r="E80" s="1386">
        <v>1.0423602226147934</v>
      </c>
      <c r="F80" s="1386">
        <v>1.5616023642488079</v>
      </c>
      <c r="K80" s="1465">
        <v>42137</v>
      </c>
      <c r="L80" s="1466" t="s">
        <v>2127</v>
      </c>
      <c r="M80" s="1467">
        <v>4.9036999999999997E-2</v>
      </c>
      <c r="N80" s="1468">
        <v>1.0240249290275336</v>
      </c>
      <c r="O80" s="1468">
        <v>1.0240249290275336</v>
      </c>
    </row>
    <row r="81" spans="2:15">
      <c r="B81" s="1384">
        <v>34881</v>
      </c>
      <c r="C81" s="1385">
        <v>119.114</v>
      </c>
      <c r="D81" s="1385">
        <v>1167.3499999999999</v>
      </c>
      <c r="E81" s="1386">
        <v>1.0402311780170954</v>
      </c>
      <c r="F81" s="1386">
        <v>1.6244274669568188</v>
      </c>
      <c r="K81" s="1465">
        <v>42138</v>
      </c>
      <c r="L81" s="1466" t="s">
        <v>2127</v>
      </c>
      <c r="M81" s="1467">
        <v>4.9036999999999997E-2</v>
      </c>
      <c r="N81" s="1468">
        <v>1.024527080131981</v>
      </c>
      <c r="O81" s="1468">
        <v>1.024527080131981</v>
      </c>
    </row>
    <row r="82" spans="2:15">
      <c r="B82" s="1384">
        <v>34912</v>
      </c>
      <c r="C82" s="1385">
        <v>121.729</v>
      </c>
      <c r="D82" s="1385">
        <v>1178.9100000000001</v>
      </c>
      <c r="E82" s="1385">
        <v>1.0383979241220025</v>
      </c>
      <c r="F82" s="1385">
        <v>1.6868021095747234</v>
      </c>
      <c r="G82" s="7">
        <v>41036.512291666666</v>
      </c>
      <c r="K82" s="1465">
        <v>42139</v>
      </c>
      <c r="L82" s="1466" t="s">
        <v>2127</v>
      </c>
      <c r="M82" s="1467">
        <v>4.9036999999999997E-2</v>
      </c>
      <c r="N82" s="1468">
        <v>1.0250294774762654</v>
      </c>
      <c r="O82" s="1468">
        <v>1.0250294774762654</v>
      </c>
    </row>
    <row r="83" spans="2:15">
      <c r="B83" s="1384">
        <v>34943</v>
      </c>
      <c r="C83" s="1385">
        <v>120.869</v>
      </c>
      <c r="D83" s="1385">
        <v>1190.58</v>
      </c>
      <c r="E83" s="1385">
        <v>1.0349384575781275</v>
      </c>
      <c r="F83" s="1385">
        <v>1.745736373522796</v>
      </c>
      <c r="K83" s="1465">
        <v>42140</v>
      </c>
      <c r="L83" s="1466"/>
      <c r="M83" s="1467">
        <v>0</v>
      </c>
      <c r="N83" s="1468">
        <v>1.0250294774762654</v>
      </c>
      <c r="O83" s="1468">
        <v>1.0250294774762654</v>
      </c>
    </row>
    <row r="84" spans="2:15">
      <c r="B84" s="1384">
        <v>34973</v>
      </c>
      <c r="C84" s="1385">
        <v>121.503</v>
      </c>
      <c r="D84" s="1385">
        <v>1207.3699999999999</v>
      </c>
      <c r="E84" s="1385">
        <v>1.0324041438440343</v>
      </c>
      <c r="F84" s="1385">
        <v>1.8023054660841915</v>
      </c>
      <c r="K84" s="1465">
        <v>42141</v>
      </c>
      <c r="L84" s="1466"/>
      <c r="M84" s="1467">
        <v>0</v>
      </c>
      <c r="N84" s="1468">
        <v>1.0250294774762654</v>
      </c>
      <c r="O84" s="1468">
        <v>1.0250294774762654</v>
      </c>
    </row>
    <row r="85" spans="2:15">
      <c r="B85" s="1384">
        <v>35004</v>
      </c>
      <c r="C85" s="1385">
        <v>122.955</v>
      </c>
      <c r="D85" s="1385">
        <v>1225.1199999999999</v>
      </c>
      <c r="E85" s="1385">
        <v>1.0316999077357936</v>
      </c>
      <c r="F85" s="1385">
        <v>1.8594383830707768</v>
      </c>
      <c r="K85" s="1465">
        <v>42142</v>
      </c>
      <c r="L85" s="1466" t="s">
        <v>2127</v>
      </c>
      <c r="M85" s="1467">
        <v>4.9036999999999997E-2</v>
      </c>
      <c r="N85" s="1468">
        <v>1.0255321211811355</v>
      </c>
      <c r="O85" s="1468">
        <v>1.0255321211811355</v>
      </c>
    </row>
    <row r="86" spans="2:15">
      <c r="B86" s="1384">
        <v>35034</v>
      </c>
      <c r="C86" s="1385">
        <v>123.833</v>
      </c>
      <c r="D86" s="1385">
        <v>1244.23</v>
      </c>
      <c r="E86" s="1385">
        <v>1.0292086837764389</v>
      </c>
      <c r="F86" s="1385">
        <v>1.913750130803664</v>
      </c>
      <c r="K86" s="1465">
        <v>42143</v>
      </c>
      <c r="L86" s="1466" t="s">
        <v>2127</v>
      </c>
      <c r="M86" s="1467">
        <v>4.9036999999999997E-2</v>
      </c>
      <c r="N86" s="1468">
        <v>1.0260350113673991</v>
      </c>
      <c r="O86" s="1468">
        <v>1.0260350113673991</v>
      </c>
    </row>
    <row r="87" spans="2:15">
      <c r="B87" s="1384">
        <v>35065</v>
      </c>
      <c r="C87" s="1385">
        <v>125.977</v>
      </c>
      <c r="D87" s="1385">
        <v>1260.9000000000001</v>
      </c>
      <c r="E87" s="1385">
        <v>1.0271429062533448</v>
      </c>
      <c r="F87" s="1385">
        <v>1.9656948711963942</v>
      </c>
      <c r="K87" s="1465">
        <v>42144</v>
      </c>
      <c r="L87" s="1466" t="s">
        <v>2127</v>
      </c>
      <c r="M87" s="1467">
        <v>4.9036999999999997E-2</v>
      </c>
      <c r="N87" s="1468">
        <v>1.0265381481559233</v>
      </c>
      <c r="O87" s="1468">
        <v>1.0265381481559233</v>
      </c>
    </row>
    <row r="88" spans="2:15">
      <c r="B88" s="1384">
        <v>35096</v>
      </c>
      <c r="C88" s="1385">
        <v>127.202</v>
      </c>
      <c r="D88" s="1385">
        <v>1273.8900000000001</v>
      </c>
      <c r="E88" s="1385">
        <v>1.026088709032714</v>
      </c>
      <c r="F88" s="1385">
        <v>2.0169773127381352</v>
      </c>
      <c r="K88" s="1465">
        <v>42145</v>
      </c>
      <c r="L88" s="1466" t="s">
        <v>2127</v>
      </c>
      <c r="M88" s="1467">
        <v>4.9036999999999997E-2</v>
      </c>
      <c r="N88" s="1468">
        <v>1.0270415316676345</v>
      </c>
      <c r="O88" s="1468">
        <v>1.0270415316676345</v>
      </c>
    </row>
    <row r="89" spans="2:15">
      <c r="B89" s="1384">
        <v>35125</v>
      </c>
      <c r="C89" s="1385">
        <v>127.715</v>
      </c>
      <c r="D89" s="1385">
        <v>1278.3499999999999</v>
      </c>
      <c r="E89" s="1385">
        <v>1.0222082178682002</v>
      </c>
      <c r="F89" s="1385">
        <v>2.0617707843346404</v>
      </c>
      <c r="K89" s="1465">
        <v>42146</v>
      </c>
      <c r="L89" s="1466" t="s">
        <v>2127</v>
      </c>
      <c r="M89" s="1467">
        <v>4.9036999999999997E-2</v>
      </c>
      <c r="N89" s="1468">
        <v>1.0275451620235183</v>
      </c>
      <c r="O89" s="1468">
        <v>1.0275451620235183</v>
      </c>
    </row>
    <row r="90" spans="2:15">
      <c r="B90" s="1384">
        <v>35156</v>
      </c>
      <c r="C90" s="1385">
        <v>128.13</v>
      </c>
      <c r="D90" s="1385">
        <v>1294.46</v>
      </c>
      <c r="E90" s="1385">
        <v>1.0227569082086725</v>
      </c>
      <c r="F90" s="1385">
        <v>2.1086903128210666</v>
      </c>
      <c r="K90" s="1465">
        <v>42147</v>
      </c>
      <c r="L90" s="1466"/>
      <c r="M90" s="1467">
        <v>0</v>
      </c>
      <c r="N90" s="1468">
        <v>1.0275451620235183</v>
      </c>
      <c r="O90" s="1468">
        <v>1.0275451620235183</v>
      </c>
    </row>
    <row r="91" spans="2:15">
      <c r="B91" s="1384">
        <v>35186</v>
      </c>
      <c r="C91" s="1385">
        <v>130.12100000000001</v>
      </c>
      <c r="D91" s="1385">
        <v>1310.25</v>
      </c>
      <c r="E91" s="1385">
        <v>1.0210626514511167</v>
      </c>
      <c r="F91" s="1385">
        <v>2.1531049218983629</v>
      </c>
      <c r="K91" s="1465">
        <v>42148</v>
      </c>
      <c r="L91" s="1466"/>
      <c r="M91" s="1467">
        <v>0</v>
      </c>
      <c r="N91" s="1468">
        <v>1.0275451620235183</v>
      </c>
      <c r="O91" s="1468">
        <v>1.0275451620235183</v>
      </c>
    </row>
    <row r="92" spans="2:15">
      <c r="B92" s="1384">
        <v>35217</v>
      </c>
      <c r="C92" s="1385">
        <v>131.44499999999999</v>
      </c>
      <c r="D92" s="1385">
        <v>1325.84</v>
      </c>
      <c r="E92" s="1385">
        <v>1.020826552130859</v>
      </c>
      <c r="F92" s="1385">
        <v>2.1979466737974884</v>
      </c>
      <c r="K92" s="1465">
        <v>42149</v>
      </c>
      <c r="L92" s="1466" t="s">
        <v>2127</v>
      </c>
      <c r="M92" s="1467">
        <v>4.9036999999999997E-2</v>
      </c>
      <c r="N92" s="1468">
        <v>1.0280490393446198</v>
      </c>
      <c r="O92" s="1468">
        <v>1.0280490393446198</v>
      </c>
    </row>
    <row r="93" spans="2:15">
      <c r="B93" s="1384">
        <v>35247</v>
      </c>
      <c r="C93" s="1385">
        <v>133.21299999999999</v>
      </c>
      <c r="D93" s="1385">
        <v>1340.56</v>
      </c>
      <c r="E93" s="1385">
        <v>1.0192856968560815</v>
      </c>
      <c r="F93" s="1385">
        <v>2.2403356070541793</v>
      </c>
      <c r="K93" s="1465">
        <v>42150</v>
      </c>
      <c r="L93" s="1466" t="s">
        <v>2127</v>
      </c>
      <c r="M93" s="1467">
        <v>4.9036999999999997E-2</v>
      </c>
      <c r="N93" s="1468">
        <v>1.0285531637520433</v>
      </c>
      <c r="O93" s="1468">
        <v>1.0285531637520433</v>
      </c>
    </row>
    <row r="94" spans="2:15">
      <c r="B94" s="1384">
        <v>35278</v>
      </c>
      <c r="C94" s="1385">
        <v>133.58699999999999</v>
      </c>
      <c r="D94" s="1385">
        <v>1346.46</v>
      </c>
      <c r="E94" s="1385">
        <v>1.0196791435025818</v>
      </c>
      <c r="F94" s="1385">
        <v>2.2844234929593421</v>
      </c>
      <c r="K94" s="1465">
        <v>42151</v>
      </c>
      <c r="L94" s="1466" t="s">
        <v>2127</v>
      </c>
      <c r="M94" s="1467">
        <v>4.9036999999999997E-2</v>
      </c>
      <c r="N94" s="1468">
        <v>1.0290575353669524</v>
      </c>
      <c r="O94" s="1468">
        <v>1.0290575353669524</v>
      </c>
    </row>
    <row r="95" spans="2:15">
      <c r="B95" s="1384">
        <v>35309</v>
      </c>
      <c r="C95" s="1385">
        <v>133.72200000000001</v>
      </c>
      <c r="D95" s="1385">
        <v>1348.48</v>
      </c>
      <c r="E95" s="1385">
        <v>1.0190405257020327</v>
      </c>
      <c r="F95" s="1385">
        <v>2.3279201171913617</v>
      </c>
      <c r="K95" s="1465">
        <v>42152</v>
      </c>
      <c r="L95" s="1466" t="s">
        <v>2127</v>
      </c>
      <c r="M95" s="1467">
        <v>4.9036999999999997E-2</v>
      </c>
      <c r="N95" s="1468">
        <v>1.0295621543105704</v>
      </c>
      <c r="O95" s="1468">
        <v>1.0295621543105704</v>
      </c>
    </row>
    <row r="96" spans="2:15">
      <c r="B96" s="1384">
        <v>35339</v>
      </c>
      <c r="C96" s="1385">
        <v>133.97800000000001</v>
      </c>
      <c r="D96" s="1385">
        <v>1352.53</v>
      </c>
      <c r="E96" s="1385">
        <v>1.0194350405573067</v>
      </c>
      <c r="F96" s="1385">
        <v>2.3731633390831459</v>
      </c>
      <c r="K96" s="1465">
        <v>42153</v>
      </c>
      <c r="L96" s="1466" t="s">
        <v>2127</v>
      </c>
      <c r="M96" s="1467">
        <v>4.9036999999999997E-2</v>
      </c>
      <c r="N96" s="1468">
        <v>1.0300670207041798</v>
      </c>
      <c r="O96" s="1468">
        <v>1.0300670207041798</v>
      </c>
    </row>
    <row r="97" spans="2:15">
      <c r="B97" s="1384">
        <v>35370</v>
      </c>
      <c r="C97" s="1385">
        <v>134.24199999999999</v>
      </c>
      <c r="D97" s="1385">
        <v>1356.86</v>
      </c>
      <c r="E97" s="1385">
        <v>1.018952291397875</v>
      </c>
      <c r="F97" s="1385">
        <v>2.4181402222202037</v>
      </c>
      <c r="K97" s="1465">
        <v>42154</v>
      </c>
      <c r="L97" s="1466"/>
      <c r="M97" s="1467">
        <v>0</v>
      </c>
      <c r="N97" s="1468">
        <v>1.0300670207041798</v>
      </c>
      <c r="O97" s="1468">
        <v>1.0300670207041798</v>
      </c>
    </row>
    <row r="98" spans="2:15">
      <c r="B98" s="1384">
        <v>35400</v>
      </c>
      <c r="C98" s="1385">
        <v>135.22499999999999</v>
      </c>
      <c r="D98" s="1385">
        <v>1363.24</v>
      </c>
      <c r="E98" s="1385">
        <v>1.0189221360623306</v>
      </c>
      <c r="F98" s="1385">
        <v>2.4638966005228489</v>
      </c>
      <c r="K98" s="1465">
        <v>42155</v>
      </c>
      <c r="L98" s="1466"/>
      <c r="M98" s="1467">
        <v>0</v>
      </c>
      <c r="N98" s="1468">
        <v>1.0300670207041798</v>
      </c>
      <c r="O98" s="1468">
        <v>1.0300670207041798</v>
      </c>
    </row>
    <row r="99" spans="2:15">
      <c r="B99" s="1384">
        <v>35431</v>
      </c>
      <c r="C99" s="1385">
        <v>137.613</v>
      </c>
      <c r="D99" s="1385">
        <v>1379.33</v>
      </c>
      <c r="E99" s="1385">
        <v>1.0182168360386268</v>
      </c>
      <c r="F99" s="1385">
        <v>2.5087810009107034</v>
      </c>
      <c r="K99" s="1465">
        <v>42156</v>
      </c>
      <c r="L99" s="1466" t="s">
        <v>2127</v>
      </c>
      <c r="M99" s="1467">
        <v>4.9036999999999997E-2</v>
      </c>
      <c r="N99" s="1468">
        <v>1.0305721346691226</v>
      </c>
      <c r="O99" s="1468">
        <v>1.0305721346691226</v>
      </c>
    </row>
    <row r="100" spans="2:15">
      <c r="B100" s="1384">
        <v>35462</v>
      </c>
      <c r="C100" s="1385">
        <v>138.20400000000001</v>
      </c>
      <c r="D100" s="1385">
        <v>1386.23</v>
      </c>
      <c r="E100" s="1385">
        <v>1.018615977536991</v>
      </c>
      <c r="F100" s="1385">
        <v>2.5554844116688868</v>
      </c>
      <c r="K100" s="1465">
        <v>42157</v>
      </c>
      <c r="L100" s="1466" t="s">
        <v>2127</v>
      </c>
      <c r="M100" s="1467">
        <v>4.9036999999999997E-2</v>
      </c>
      <c r="N100" s="1468">
        <v>1.0310774963268003</v>
      </c>
      <c r="O100" s="1468">
        <v>1.0310774963268003</v>
      </c>
    </row>
    <row r="101" spans="2:15">
      <c r="B101" s="1384">
        <v>35490</v>
      </c>
      <c r="C101" s="1385">
        <v>139.79499999999999</v>
      </c>
      <c r="D101" s="1385">
        <v>1393.3</v>
      </c>
      <c r="E101" s="1385">
        <v>1.0181653196053577</v>
      </c>
      <c r="F101" s="1385">
        <v>2.6019056027533618</v>
      </c>
      <c r="K101" s="1465">
        <v>42158</v>
      </c>
      <c r="L101" s="1466" t="s">
        <v>2127</v>
      </c>
      <c r="M101" s="1467">
        <v>4.9036999999999997E-2</v>
      </c>
      <c r="N101" s="1468">
        <v>1.0315831057986742</v>
      </c>
      <c r="O101" s="1468">
        <v>1.0315831057986742</v>
      </c>
    </row>
    <row r="102" spans="2:15">
      <c r="B102" s="1384">
        <v>35521</v>
      </c>
      <c r="C102" s="1385">
        <v>140.74199999999999</v>
      </c>
      <c r="D102" s="1385">
        <v>1405.56</v>
      </c>
      <c r="E102" s="1385">
        <v>1.0174130782041242</v>
      </c>
      <c r="F102" s="1385">
        <v>2.6472127884938548</v>
      </c>
      <c r="K102" s="1465">
        <v>42159</v>
      </c>
      <c r="L102" s="1466"/>
      <c r="M102" s="1467">
        <v>0</v>
      </c>
      <c r="N102" s="1468">
        <v>1.0315831057986742</v>
      </c>
      <c r="O102" s="1468">
        <v>1.0315831057986742</v>
      </c>
    </row>
    <row r="103" spans="2:15">
      <c r="B103" s="1384">
        <v>35551</v>
      </c>
      <c r="C103" s="1385">
        <v>141.04</v>
      </c>
      <c r="D103" s="1385">
        <v>1411.32</v>
      </c>
      <c r="E103" s="1385">
        <v>1.0173859708262292</v>
      </c>
      <c r="F103" s="1385">
        <v>2.6932371528054295</v>
      </c>
      <c r="K103" s="1465">
        <v>42160</v>
      </c>
      <c r="L103" s="1466" t="s">
        <v>2127</v>
      </c>
      <c r="M103" s="1467">
        <v>5.0788E-2</v>
      </c>
      <c r="N103" s="1468">
        <v>1.0321070262264471</v>
      </c>
      <c r="O103" s="1468">
        <v>1.0321070262264471</v>
      </c>
    </row>
    <row r="104" spans="2:15">
      <c r="B104" s="1384">
        <v>35582</v>
      </c>
      <c r="C104" s="1385">
        <v>142.09</v>
      </c>
      <c r="D104" s="1385">
        <v>1418.94</v>
      </c>
      <c r="E104" s="1385">
        <v>1.0160683269749473</v>
      </c>
      <c r="F104" s="1385">
        <v>2.7365129679977831</v>
      </c>
      <c r="K104" s="1465">
        <v>42161</v>
      </c>
      <c r="L104" s="1466"/>
      <c r="M104" s="1467">
        <v>0</v>
      </c>
      <c r="N104" s="1468">
        <v>1.0321070262264471</v>
      </c>
      <c r="O104" s="1468">
        <v>1.0321070262264471</v>
      </c>
    </row>
    <row r="105" spans="2:15">
      <c r="B105" s="1384">
        <v>35612</v>
      </c>
      <c r="C105" s="1385">
        <v>142.221</v>
      </c>
      <c r="D105" s="1385">
        <v>1422.06</v>
      </c>
      <c r="E105" s="1385">
        <v>1.0160384417373229</v>
      </c>
      <c r="F105" s="1385">
        <v>2.7804023717984441</v>
      </c>
      <c r="K105" s="1465">
        <v>42162</v>
      </c>
      <c r="L105" s="1466"/>
      <c r="M105" s="1467">
        <v>0</v>
      </c>
      <c r="N105" s="1468">
        <v>1.0321070262264471</v>
      </c>
      <c r="O105" s="1468">
        <v>1.0321070262264471</v>
      </c>
    </row>
    <row r="106" spans="2:15">
      <c r="B106" s="1384">
        <v>35643</v>
      </c>
      <c r="C106" s="1385">
        <v>142.35300000000001</v>
      </c>
      <c r="D106" s="1385">
        <v>1421.78</v>
      </c>
      <c r="E106" s="1385">
        <v>1.0158585469231169</v>
      </c>
      <c r="F106" s="1385">
        <v>2.8244955132767555</v>
      </c>
      <c r="K106" s="1465">
        <v>42163</v>
      </c>
      <c r="L106" s="1466" t="s">
        <v>2127</v>
      </c>
      <c r="M106" s="1467">
        <v>5.0788E-2</v>
      </c>
      <c r="N106" s="1468">
        <v>1.0326312127429271</v>
      </c>
      <c r="O106" s="1468">
        <v>1.0326312127429271</v>
      </c>
    </row>
    <row r="107" spans="2:15">
      <c r="B107" s="1384">
        <v>35674</v>
      </c>
      <c r="C107" s="1385">
        <v>143.042</v>
      </c>
      <c r="D107" s="1385">
        <v>1422.63</v>
      </c>
      <c r="E107" s="1385">
        <v>1.0159028051900765</v>
      </c>
      <c r="F107" s="1385">
        <v>2.869412915184641</v>
      </c>
      <c r="K107" s="1465">
        <v>42164</v>
      </c>
      <c r="L107" s="1466" t="s">
        <v>2127</v>
      </c>
      <c r="M107" s="1467">
        <v>5.0788E-2</v>
      </c>
      <c r="N107" s="1468">
        <v>1.033155665483255</v>
      </c>
      <c r="O107" s="1468">
        <v>1.033155665483255</v>
      </c>
    </row>
    <row r="108" spans="2:15">
      <c r="B108" s="1384">
        <v>35704</v>
      </c>
      <c r="C108" s="1385">
        <v>143.56700000000001</v>
      </c>
      <c r="D108" s="1385">
        <v>1425.9</v>
      </c>
      <c r="E108" s="1385">
        <v>1.0167288802763557</v>
      </c>
      <c r="F108" s="1385">
        <v>2.9174149803061935</v>
      </c>
      <c r="K108" s="1465">
        <v>42165</v>
      </c>
      <c r="L108" s="1466" t="s">
        <v>2127</v>
      </c>
      <c r="M108" s="1467">
        <v>5.0788E-2</v>
      </c>
      <c r="N108" s="1468">
        <v>1.0336803845826406</v>
      </c>
      <c r="O108" s="1468">
        <v>1.0336803845826406</v>
      </c>
    </row>
    <row r="109" spans="2:15">
      <c r="B109" s="1384">
        <v>35735</v>
      </c>
      <c r="C109" s="1385">
        <v>144.48099999999999</v>
      </c>
      <c r="D109" s="1385">
        <v>1428.32</v>
      </c>
      <c r="E109" s="1385">
        <v>1.0304347964479648</v>
      </c>
      <c r="F109" s="1385">
        <v>3.0062059113860555</v>
      </c>
      <c r="K109" s="1465">
        <v>42166</v>
      </c>
      <c r="L109" s="1466" t="s">
        <v>2127</v>
      </c>
      <c r="M109" s="1467">
        <v>5.0788E-2</v>
      </c>
      <c r="N109" s="1468">
        <v>1.0342053701763625</v>
      </c>
      <c r="O109" s="1468">
        <v>1.0342053701763625</v>
      </c>
    </row>
    <row r="110" spans="2:15">
      <c r="B110" s="1384">
        <v>35765</v>
      </c>
      <c r="C110" s="1385">
        <v>145.69499999999999</v>
      </c>
      <c r="D110" s="1385">
        <v>1434.46</v>
      </c>
      <c r="E110" s="1385">
        <v>1.0311549813439238</v>
      </c>
      <c r="F110" s="1385">
        <v>3.0998642004712815</v>
      </c>
      <c r="K110" s="1465">
        <v>42167</v>
      </c>
      <c r="L110" s="1466" t="s">
        <v>2127</v>
      </c>
      <c r="M110" s="1467">
        <v>5.0788E-2</v>
      </c>
      <c r="N110" s="1468">
        <v>1.0347306223997677</v>
      </c>
      <c r="O110" s="1468">
        <v>1.0347306223997677</v>
      </c>
    </row>
    <row r="111" spans="2:15">
      <c r="B111" s="1384">
        <v>35796</v>
      </c>
      <c r="C111" s="1385">
        <v>147.09100000000001</v>
      </c>
      <c r="D111" s="1385">
        <v>1444.64</v>
      </c>
      <c r="E111" s="1385">
        <v>1.0280960413836384</v>
      </c>
      <c r="F111" s="1385">
        <v>3.1869581133313818</v>
      </c>
      <c r="K111" s="1465">
        <v>42168</v>
      </c>
      <c r="L111" s="1466"/>
      <c r="M111" s="1467">
        <v>0</v>
      </c>
      <c r="N111" s="1468">
        <v>1.0347306223997677</v>
      </c>
      <c r="O111" s="1468">
        <v>1.0347306223997677</v>
      </c>
    </row>
    <row r="112" spans="2:15">
      <c r="B112" s="1384">
        <v>35827</v>
      </c>
      <c r="C112" s="1385">
        <v>147.35599999999999</v>
      </c>
      <c r="D112" s="1385">
        <v>1451.29</v>
      </c>
      <c r="E112" s="1385">
        <v>1.0236711069024262</v>
      </c>
      <c r="F112" s="1385">
        <v>3.2623969395256034</v>
      </c>
      <c r="K112" s="1465">
        <v>42169</v>
      </c>
      <c r="L112" s="1466"/>
      <c r="M112" s="1467">
        <v>0</v>
      </c>
      <c r="N112" s="1468">
        <v>1.0347306223997677</v>
      </c>
      <c r="O112" s="1468">
        <v>1.0347306223997677</v>
      </c>
    </row>
    <row r="113" spans="2:15">
      <c r="B113" s="1384">
        <v>35855</v>
      </c>
      <c r="C113" s="1385">
        <v>147.63499999999999</v>
      </c>
      <c r="D113" s="1385">
        <v>1456.22</v>
      </c>
      <c r="E113" s="1385">
        <v>1.0220072916308196</v>
      </c>
      <c r="F113" s="1385">
        <v>3.3341934603892365</v>
      </c>
      <c r="K113" s="1465">
        <v>42170</v>
      </c>
      <c r="L113" s="1466" t="s">
        <v>2127</v>
      </c>
      <c r="M113" s="1467">
        <v>5.0788E-2</v>
      </c>
      <c r="N113" s="1468">
        <v>1.0352561413882722</v>
      </c>
      <c r="O113" s="1468">
        <v>1.0352561413882722</v>
      </c>
    </row>
    <row r="114" spans="2:15">
      <c r="B114" s="1384">
        <v>35886</v>
      </c>
      <c r="C114" s="1385">
        <v>147.821</v>
      </c>
      <c r="D114" s="1385">
        <v>1459.71</v>
      </c>
      <c r="E114" s="1385">
        <v>1.0199031041694671</v>
      </c>
      <c r="F114" s="1385">
        <v>3.4005542601525192</v>
      </c>
      <c r="K114" s="1465">
        <v>42171</v>
      </c>
      <c r="L114" s="1466" t="s">
        <v>2127</v>
      </c>
      <c r="M114" s="1467">
        <v>5.0788E-2</v>
      </c>
      <c r="N114" s="1468">
        <v>1.0357819272773605</v>
      </c>
      <c r="O114" s="1468">
        <v>1.0357819272773605</v>
      </c>
    </row>
    <row r="115" spans="2:15">
      <c r="B115" s="1384">
        <v>35916</v>
      </c>
      <c r="C115" s="1385">
        <v>148.02099999999999</v>
      </c>
      <c r="D115" s="1385">
        <v>1467.01</v>
      </c>
      <c r="E115" s="1385">
        <v>1.0171306475499944</v>
      </c>
      <c r="F115" s="1385">
        <v>3.4588079566578238</v>
      </c>
      <c r="K115" s="1465">
        <v>42172</v>
      </c>
      <c r="L115" s="1466" t="s">
        <v>2127</v>
      </c>
      <c r="M115" s="1467">
        <v>5.0788E-2</v>
      </c>
      <c r="N115" s="1468">
        <v>1.0363079802025861</v>
      </c>
      <c r="O115" s="1468">
        <v>1.0363079802025861</v>
      </c>
    </row>
    <row r="116" spans="2:15">
      <c r="B116" s="1384">
        <v>35947</v>
      </c>
      <c r="C116" s="1385">
        <v>148.58799999999999</v>
      </c>
      <c r="D116" s="1385">
        <v>1467.3</v>
      </c>
      <c r="E116" s="1385">
        <v>1.0167959651913006</v>
      </c>
      <c r="F116" s="1385">
        <v>3.5169019747012422</v>
      </c>
      <c r="K116" s="1465">
        <v>42173</v>
      </c>
      <c r="L116" s="1466" t="s">
        <v>2127</v>
      </c>
      <c r="M116" s="1467">
        <v>5.0788E-2</v>
      </c>
      <c r="N116" s="1468">
        <v>1.0368343002995715</v>
      </c>
      <c r="O116" s="1468">
        <v>1.0368343002995715</v>
      </c>
    </row>
    <row r="117" spans="2:15">
      <c r="B117" s="1384">
        <v>35977</v>
      </c>
      <c r="C117" s="1385">
        <v>148.339</v>
      </c>
      <c r="D117" s="1385">
        <v>1465.54</v>
      </c>
      <c r="E117" s="1385">
        <v>1.0170373206405035</v>
      </c>
      <c r="F117" s="1385">
        <v>3.5768205613054471</v>
      </c>
      <c r="K117" s="1465">
        <v>42174</v>
      </c>
      <c r="L117" s="1466" t="s">
        <v>2127</v>
      </c>
      <c r="M117" s="1467">
        <v>5.0788E-2</v>
      </c>
      <c r="N117" s="1468">
        <v>1.0373608877040077</v>
      </c>
      <c r="O117" s="1468">
        <v>1.0373608877040077</v>
      </c>
    </row>
    <row r="118" spans="2:15">
      <c r="B118" s="1384">
        <v>36008</v>
      </c>
      <c r="C118" s="1385">
        <v>148.10900000000001</v>
      </c>
      <c r="D118" s="1385">
        <v>1458.07</v>
      </c>
      <c r="E118" s="1385">
        <v>1.0147631694962493</v>
      </c>
      <c r="F118" s="1385">
        <v>3.6296257695096692</v>
      </c>
      <c r="K118" s="1465">
        <v>42175</v>
      </c>
      <c r="L118" s="1466"/>
      <c r="M118" s="1467">
        <v>0</v>
      </c>
      <c r="N118" s="1468">
        <v>1.0373608877040077</v>
      </c>
      <c r="O118" s="1468">
        <v>1.0373608877040077</v>
      </c>
    </row>
    <row r="119" spans="2:15">
      <c r="B119" s="1384">
        <v>36039</v>
      </c>
      <c r="C119" s="1385">
        <v>147.98400000000001</v>
      </c>
      <c r="D119" s="1385">
        <v>1454.86</v>
      </c>
      <c r="E119" s="1385">
        <v>1.0255896332244516</v>
      </c>
      <c r="F119" s="1385">
        <v>3.7225065616934394</v>
      </c>
      <c r="K119" s="1465">
        <v>42176</v>
      </c>
      <c r="L119" s="1466"/>
      <c r="M119" s="1467">
        <v>0</v>
      </c>
      <c r="N119" s="1468">
        <v>1.0373608877040077</v>
      </c>
      <c r="O119" s="1468">
        <v>1.0373608877040077</v>
      </c>
    </row>
    <row r="120" spans="2:15">
      <c r="B120" s="1384">
        <v>36069</v>
      </c>
      <c r="C120" s="1385">
        <v>148.1</v>
      </c>
      <c r="D120" s="1385">
        <v>1455.15</v>
      </c>
      <c r="E120" s="1385">
        <v>1.0308188720930029</v>
      </c>
      <c r="F120" s="1385">
        <v>3.8372300152836338</v>
      </c>
      <c r="K120" s="1465">
        <v>42177</v>
      </c>
      <c r="L120" s="1466" t="s">
        <v>2127</v>
      </c>
      <c r="M120" s="1467">
        <v>5.0788E-2</v>
      </c>
      <c r="N120" s="1468">
        <v>1.0378877425516548</v>
      </c>
      <c r="O120" s="1468">
        <v>1.0378877425516548</v>
      </c>
    </row>
    <row r="121" spans="2:15">
      <c r="B121" s="1384">
        <v>36100</v>
      </c>
      <c r="C121" s="1385">
        <v>147.62799999999999</v>
      </c>
      <c r="D121" s="1385">
        <v>1453.4</v>
      </c>
      <c r="E121" s="1385">
        <v>1.0277678356785036</v>
      </c>
      <c r="F121" s="1385">
        <v>3.9437815878086515</v>
      </c>
      <c r="K121" s="1465">
        <v>42178</v>
      </c>
      <c r="L121" s="1466" t="s">
        <v>2127</v>
      </c>
      <c r="M121" s="1467">
        <v>5.0788E-2</v>
      </c>
      <c r="N121" s="1468">
        <v>1.038414864978342</v>
      </c>
      <c r="O121" s="1468">
        <v>1.038414864978342</v>
      </c>
    </row>
    <row r="122" spans="2:15">
      <c r="B122" s="1384">
        <v>36130</v>
      </c>
      <c r="C122" s="1385">
        <v>148.291</v>
      </c>
      <c r="D122" s="1385">
        <v>1458.2</v>
      </c>
      <c r="E122" s="1385">
        <v>1.025049538167373</v>
      </c>
      <c r="F122" s="1385">
        <v>4.0425714952162473</v>
      </c>
      <c r="K122" s="1465">
        <v>42179</v>
      </c>
      <c r="L122" s="1466" t="s">
        <v>2127</v>
      </c>
      <c r="M122" s="1467">
        <v>5.0788E-2</v>
      </c>
      <c r="N122" s="1468">
        <v>1.0389422551199672</v>
      </c>
      <c r="O122" s="1468">
        <v>1.0389422551199672</v>
      </c>
    </row>
    <row r="123" spans="2:15">
      <c r="B123" s="1384">
        <v>36161</v>
      </c>
      <c r="C123" s="1385">
        <v>149.53299999999999</v>
      </c>
      <c r="D123" s="1385">
        <v>1468.41</v>
      </c>
      <c r="E123" s="1385">
        <v>1.022811290449001</v>
      </c>
      <c r="F123" s="1385">
        <v>4.1347877677544771</v>
      </c>
      <c r="K123" s="1465">
        <v>42180</v>
      </c>
      <c r="L123" s="1466" t="s">
        <v>2127</v>
      </c>
      <c r="M123" s="1467">
        <v>5.0788E-2</v>
      </c>
      <c r="N123" s="1468">
        <v>1.0394699131124976</v>
      </c>
      <c r="O123" s="1468">
        <v>1.0394699131124976</v>
      </c>
    </row>
    <row r="124" spans="2:15">
      <c r="B124" s="1384">
        <v>36192</v>
      </c>
      <c r="C124" s="1385">
        <v>154.93299999999999</v>
      </c>
      <c r="D124" s="1385">
        <v>1483.83</v>
      </c>
      <c r="E124" s="1385">
        <v>1.0264662861429437</v>
      </c>
      <c r="F124" s="1385">
        <v>4.2442202439562102</v>
      </c>
      <c r="K124" s="1465">
        <v>42181</v>
      </c>
      <c r="L124" s="1466" t="s">
        <v>2127</v>
      </c>
      <c r="M124" s="1467">
        <v>5.0788E-2</v>
      </c>
      <c r="N124" s="1468">
        <v>1.0399978390919691</v>
      </c>
      <c r="O124" s="1468">
        <v>1.0399978390919691</v>
      </c>
    </row>
    <row r="125" spans="2:15">
      <c r="B125" s="1384">
        <v>36220</v>
      </c>
      <c r="C125" s="1385">
        <v>159.32499999999999</v>
      </c>
      <c r="D125" s="1385">
        <v>1500.15</v>
      </c>
      <c r="E125" s="1385">
        <v>1.033345195070198</v>
      </c>
      <c r="F125" s="1385">
        <v>4.3857445959118131</v>
      </c>
      <c r="K125" s="1465">
        <v>42182</v>
      </c>
      <c r="L125" s="1466"/>
      <c r="M125" s="1467">
        <v>0</v>
      </c>
      <c r="N125" s="1468">
        <v>1.0399978390919691</v>
      </c>
      <c r="O125" s="1468">
        <v>1.0399978390919691</v>
      </c>
    </row>
    <row r="126" spans="2:15">
      <c r="B126" s="1384">
        <v>36251</v>
      </c>
      <c r="C126" s="1385">
        <v>160.459</v>
      </c>
      <c r="D126" s="1385">
        <v>1508.55</v>
      </c>
      <c r="E126" s="1385">
        <v>1.027563660965396</v>
      </c>
      <c r="F126" s="1385">
        <v>4.5066317730343437</v>
      </c>
      <c r="K126" s="1465">
        <v>42183</v>
      </c>
      <c r="L126" s="1466"/>
      <c r="M126" s="1467">
        <v>0</v>
      </c>
      <c r="N126" s="1468">
        <v>1.0399978390919691</v>
      </c>
      <c r="O126" s="1468">
        <v>1.0399978390919691</v>
      </c>
    </row>
    <row r="127" spans="2:15">
      <c r="B127" s="1384">
        <v>36281</v>
      </c>
      <c r="C127" s="1385">
        <v>159.99600000000001</v>
      </c>
      <c r="D127" s="1385">
        <v>1513.08</v>
      </c>
      <c r="E127" s="1385">
        <v>1.0201883000304468</v>
      </c>
      <c r="F127" s="1385">
        <v>4.5976130073951058</v>
      </c>
      <c r="K127" s="1465">
        <v>42184</v>
      </c>
      <c r="L127" s="1466" t="s">
        <v>2127</v>
      </c>
      <c r="M127" s="1467">
        <v>5.0788E-2</v>
      </c>
      <c r="N127" s="1468">
        <v>1.0405260331944872</v>
      </c>
      <c r="O127" s="1468">
        <v>1.0405260331944872</v>
      </c>
    </row>
    <row r="128" spans="2:15">
      <c r="B128" s="1384">
        <v>36312</v>
      </c>
      <c r="C128" s="1385">
        <v>160.57300000000001</v>
      </c>
      <c r="D128" s="1385">
        <v>1515.95</v>
      </c>
      <c r="E128" s="1385">
        <v>1.0175637707499077</v>
      </c>
      <c r="F128" s="1385">
        <v>4.6783644282537873</v>
      </c>
      <c r="K128" s="1465">
        <v>42185</v>
      </c>
      <c r="L128" s="1466" t="s">
        <v>2127</v>
      </c>
      <c r="M128" s="1467">
        <v>5.0788E-2</v>
      </c>
      <c r="N128" s="1468">
        <v>1.041054495556226</v>
      </c>
      <c r="O128" s="1468">
        <v>1.041054495556226</v>
      </c>
    </row>
    <row r="129" spans="2:15">
      <c r="B129" s="1384">
        <v>36342</v>
      </c>
      <c r="C129" s="1385">
        <v>163.06</v>
      </c>
      <c r="D129" s="1385">
        <v>1532.47</v>
      </c>
      <c r="E129" s="1385">
        <v>1.0165876375704719</v>
      </c>
      <c r="F129" s="1385">
        <v>4.7559674418122491</v>
      </c>
      <c r="K129" s="1465">
        <v>42186</v>
      </c>
      <c r="L129" s="1466" t="s">
        <v>2127</v>
      </c>
      <c r="M129" s="1467">
        <v>5.0788E-2</v>
      </c>
      <c r="N129" s="1468">
        <v>1.041583226313429</v>
      </c>
      <c r="O129" s="1468">
        <v>1.041583226313429</v>
      </c>
    </row>
    <row r="130" spans="2:15">
      <c r="B130" s="1384">
        <v>36373</v>
      </c>
      <c r="C130" s="1385">
        <v>165.60300000000001</v>
      </c>
      <c r="D130" s="1385">
        <v>1541.05</v>
      </c>
      <c r="E130" s="1385">
        <v>1.0156847483880824</v>
      </c>
      <c r="F130" s="1385">
        <v>4.8305635944789866</v>
      </c>
      <c r="K130" s="1465">
        <v>42187</v>
      </c>
      <c r="L130" s="1466" t="s">
        <v>2127</v>
      </c>
      <c r="M130" s="1467">
        <v>5.0788E-2</v>
      </c>
      <c r="N130" s="1468">
        <v>1.0421122256024091</v>
      </c>
      <c r="O130" s="1468">
        <v>1.0421122256024091</v>
      </c>
    </row>
    <row r="131" spans="2:15">
      <c r="B131" s="1384">
        <v>36404</v>
      </c>
      <c r="C131" s="1385">
        <v>167.99700000000001</v>
      </c>
      <c r="D131" s="1385">
        <v>1545.83</v>
      </c>
      <c r="E131" s="1385">
        <v>1.0155901672784533</v>
      </c>
      <c r="F131" s="1385">
        <v>4.9058728889661207</v>
      </c>
      <c r="K131" s="1465">
        <v>42188</v>
      </c>
      <c r="L131" s="1466" t="s">
        <v>2127</v>
      </c>
      <c r="M131" s="1467">
        <v>5.0788E-2</v>
      </c>
      <c r="N131" s="1468">
        <v>1.042641493559548</v>
      </c>
      <c r="O131" s="1468">
        <v>1.042641493559548</v>
      </c>
    </row>
    <row r="132" spans="2:15">
      <c r="B132" s="1384">
        <v>36434</v>
      </c>
      <c r="C132" s="1385">
        <v>170.86099999999999</v>
      </c>
      <c r="D132" s="1385">
        <v>1564.23</v>
      </c>
      <c r="E132" s="1385">
        <v>1.0145370189540868</v>
      </c>
      <c r="F132" s="1385">
        <v>4.9771896561393616</v>
      </c>
      <c r="K132" s="1465">
        <v>42189</v>
      </c>
      <c r="L132" s="1466"/>
      <c r="M132" s="1467">
        <v>0</v>
      </c>
      <c r="N132" s="1468">
        <v>1.042641493559548</v>
      </c>
      <c r="O132" s="1468">
        <v>1.042641493559548</v>
      </c>
    </row>
    <row r="133" spans="2:15">
      <c r="B133" s="1384">
        <v>36465</v>
      </c>
      <c r="C133" s="1385">
        <v>174.93899999999999</v>
      </c>
      <c r="D133" s="1385">
        <v>1579.09</v>
      </c>
      <c r="E133" s="1385">
        <v>1.0152599173733607</v>
      </c>
      <c r="F133" s="1385">
        <v>5.0531411590435944</v>
      </c>
      <c r="K133" s="1465">
        <v>42190</v>
      </c>
      <c r="L133" s="1466"/>
      <c r="M133" s="1467">
        <v>0</v>
      </c>
      <c r="N133" s="1468">
        <v>1.042641493559548</v>
      </c>
      <c r="O133" s="1468">
        <v>1.042641493559548</v>
      </c>
    </row>
    <row r="134" spans="2:15">
      <c r="B134" s="1384">
        <v>36495</v>
      </c>
      <c r="C134" s="1385">
        <v>178.09899999999999</v>
      </c>
      <c r="D134" s="1385">
        <v>1588.56</v>
      </c>
      <c r="E134" s="1385">
        <v>1.0159962861507461</v>
      </c>
      <c r="F134" s="1385">
        <v>5.1339726509837682</v>
      </c>
      <c r="K134" s="1465">
        <v>42191</v>
      </c>
      <c r="L134" s="1466" t="s">
        <v>2127</v>
      </c>
      <c r="M134" s="1467">
        <v>5.0788E-2</v>
      </c>
      <c r="N134" s="1468">
        <v>1.0431710303212971</v>
      </c>
      <c r="O134" s="1468">
        <v>1.0431710303212971</v>
      </c>
    </row>
    <row r="135" spans="2:15">
      <c r="B135" s="1384">
        <v>36526</v>
      </c>
      <c r="C135" s="1385">
        <v>180.30099999999999</v>
      </c>
      <c r="D135" s="1385">
        <v>1598.41</v>
      </c>
      <c r="E135" s="1385">
        <v>1.0145573263269665</v>
      </c>
      <c r="F135" s="1385">
        <v>5.20870956621786</v>
      </c>
      <c r="K135" s="1465">
        <v>42192</v>
      </c>
      <c r="L135" s="1466" t="s">
        <v>2127</v>
      </c>
      <c r="M135" s="1467">
        <v>5.0788E-2</v>
      </c>
      <c r="N135" s="1468">
        <v>1.0437008360241766</v>
      </c>
      <c r="O135" s="1468">
        <v>1.0437008360241766</v>
      </c>
    </row>
    <row r="136" spans="2:15">
      <c r="B136" s="1384">
        <v>36557</v>
      </c>
      <c r="C136" s="1385">
        <v>180.935</v>
      </c>
      <c r="D136" s="1385">
        <v>1600.49</v>
      </c>
      <c r="E136" s="1385">
        <v>1.0145089461247463</v>
      </c>
      <c r="F136" s="1385">
        <v>5.2842824526935654</v>
      </c>
      <c r="K136" s="1465">
        <v>42193</v>
      </c>
      <c r="L136" s="1466" t="s">
        <v>2127</v>
      </c>
      <c r="M136" s="1467">
        <v>5.0788E-2</v>
      </c>
      <c r="N136" s="1468">
        <v>1.0442309108047767</v>
      </c>
      <c r="O136" s="1468">
        <v>1.0442309108047767</v>
      </c>
    </row>
    <row r="137" spans="2:15">
      <c r="B137" s="1384">
        <v>36586</v>
      </c>
      <c r="C137" s="1385">
        <v>181.214</v>
      </c>
      <c r="D137" s="1385">
        <v>1604.01</v>
      </c>
      <c r="E137" s="1385">
        <v>1.0158860407835757</v>
      </c>
      <c r="F137" s="1385">
        <v>5.3682287792489891</v>
      </c>
      <c r="K137" s="1465">
        <v>42194</v>
      </c>
      <c r="L137" s="1466" t="s">
        <v>2127</v>
      </c>
      <c r="M137" s="1467">
        <v>5.0788E-2</v>
      </c>
      <c r="N137" s="1468">
        <v>1.0447612547997562</v>
      </c>
      <c r="O137" s="1468">
        <v>1.0447612547997562</v>
      </c>
    </row>
    <row r="138" spans="2:15">
      <c r="B138" s="1384">
        <v>36617</v>
      </c>
      <c r="C138" s="1385">
        <v>181.63499999999999</v>
      </c>
      <c r="D138" s="1385">
        <v>1610.75</v>
      </c>
      <c r="E138" s="1385">
        <v>1.0136441914221253</v>
      </c>
      <c r="F138" s="1385">
        <v>5.4414739203108242</v>
      </c>
      <c r="K138" s="1465">
        <v>42195</v>
      </c>
      <c r="L138" s="1466" t="s">
        <v>2127</v>
      </c>
      <c r="M138" s="1467">
        <v>5.0788E-2</v>
      </c>
      <c r="N138" s="1468">
        <v>1.0452918681458438</v>
      </c>
      <c r="O138" s="1468">
        <v>1.0452918681458438</v>
      </c>
    </row>
    <row r="139" spans="2:15">
      <c r="B139" s="1384">
        <v>36647</v>
      </c>
      <c r="C139" s="1385">
        <v>182.18899999999999</v>
      </c>
      <c r="D139" s="1385">
        <v>1610.91</v>
      </c>
      <c r="E139" s="1385">
        <v>1.0156265899953318</v>
      </c>
      <c r="F139" s="1385">
        <v>5.5265056022338124</v>
      </c>
      <c r="K139" s="1465">
        <v>42196</v>
      </c>
      <c r="L139" s="1466"/>
      <c r="M139" s="1467">
        <v>0</v>
      </c>
      <c r="N139" s="1468">
        <v>1.0452918681458438</v>
      </c>
      <c r="O139" s="1468">
        <v>1.0452918681458438</v>
      </c>
    </row>
    <row r="140" spans="2:15">
      <c r="B140" s="1384">
        <v>36678</v>
      </c>
      <c r="C140" s="1385">
        <v>183.745</v>
      </c>
      <c r="D140" s="1385">
        <v>1614.62</v>
      </c>
      <c r="E140" s="1385">
        <v>1.0145668910909638</v>
      </c>
      <c r="F140" s="1385">
        <v>5.6070096074551534</v>
      </c>
      <c r="K140" s="1465">
        <v>42197</v>
      </c>
      <c r="L140" s="1466"/>
      <c r="M140" s="1467">
        <v>0</v>
      </c>
      <c r="N140" s="1468">
        <v>1.0452918681458438</v>
      </c>
      <c r="O140" s="1468">
        <v>1.0452918681458438</v>
      </c>
    </row>
    <row r="141" spans="2:15">
      <c r="B141" s="1384">
        <v>36708</v>
      </c>
      <c r="C141" s="1385">
        <v>186.63399999999999</v>
      </c>
      <c r="D141" s="1385">
        <v>1640.62</v>
      </c>
      <c r="E141" s="1385">
        <v>1.0130599958288005</v>
      </c>
      <c r="F141" s="1385">
        <v>5.6802371295405623</v>
      </c>
      <c r="K141" s="1465">
        <v>42198</v>
      </c>
      <c r="L141" s="1466" t="s">
        <v>2127</v>
      </c>
      <c r="M141" s="1467">
        <v>5.0788E-2</v>
      </c>
      <c r="N141" s="1468">
        <v>1.0458227509798377</v>
      </c>
      <c r="O141" s="1468">
        <v>1.0458227509798377</v>
      </c>
    </row>
    <row r="142" spans="2:15">
      <c r="B142" s="1384">
        <v>36739</v>
      </c>
      <c r="C142" s="1385">
        <v>191.08699999999999</v>
      </c>
      <c r="D142" s="1385">
        <v>1662.11</v>
      </c>
      <c r="E142" s="1385">
        <v>1.0140543715890855</v>
      </c>
      <c r="F142" s="1385">
        <v>5.7600692928732462</v>
      </c>
      <c r="K142" s="1465">
        <v>42199</v>
      </c>
      <c r="L142" s="1466" t="s">
        <v>2127</v>
      </c>
      <c r="M142" s="1467">
        <v>5.0788E-2</v>
      </c>
      <c r="N142" s="1468">
        <v>1.0463539034386053</v>
      </c>
      <c r="O142" s="1468">
        <v>1.0463539034386053</v>
      </c>
    </row>
    <row r="143" spans="2:15">
      <c r="B143" s="1384">
        <v>36770</v>
      </c>
      <c r="C143" s="1385">
        <v>193.297</v>
      </c>
      <c r="D143" s="1385">
        <v>1665.93</v>
      </c>
      <c r="E143" s="1385">
        <v>1.0128508890656427</v>
      </c>
      <c r="F143" s="1385">
        <v>5.8340913043663756</v>
      </c>
      <c r="K143" s="1465">
        <v>42200</v>
      </c>
      <c r="L143" s="1466" t="s">
        <v>2127</v>
      </c>
      <c r="M143" s="1467">
        <v>5.0788E-2</v>
      </c>
      <c r="N143" s="1468">
        <v>1.0468853256590838</v>
      </c>
      <c r="O143" s="1468">
        <v>1.0468853256590838</v>
      </c>
    </row>
    <row r="144" spans="2:15">
      <c r="B144" s="1384">
        <v>36800</v>
      </c>
      <c r="C144" s="1385">
        <v>194.04</v>
      </c>
      <c r="D144" s="1385">
        <v>1668.26</v>
      </c>
      <c r="E144" s="1385">
        <v>1.013495295624836</v>
      </c>
      <c r="F144" s="1385">
        <v>5.9128240912210845</v>
      </c>
      <c r="K144" s="1465">
        <v>42201</v>
      </c>
      <c r="L144" s="1466" t="s">
        <v>2127</v>
      </c>
      <c r="M144" s="1467">
        <v>5.0788E-2</v>
      </c>
      <c r="N144" s="1468">
        <v>1.0474170177782796</v>
      </c>
      <c r="O144" s="1468">
        <v>1.0474170177782796</v>
      </c>
    </row>
    <row r="145" spans="2:15">
      <c r="B145" s="1384">
        <v>36831</v>
      </c>
      <c r="C145" s="1385">
        <v>194.59899999999999</v>
      </c>
      <c r="D145" s="1385">
        <v>1673.6</v>
      </c>
      <c r="E145" s="1385">
        <v>1.013431060777086</v>
      </c>
      <c r="F145" s="1385">
        <v>5.992239590954493</v>
      </c>
      <c r="K145" s="1465">
        <v>42202</v>
      </c>
      <c r="L145" s="1466" t="s">
        <v>2127</v>
      </c>
      <c r="M145" s="1467">
        <v>5.0788E-2</v>
      </c>
      <c r="N145" s="1468">
        <v>1.0479489799332689</v>
      </c>
      <c r="O145" s="1468">
        <v>1.0479489799332689</v>
      </c>
    </row>
    <row r="146" spans="2:15">
      <c r="B146" s="1384">
        <v>36861</v>
      </c>
      <c r="C146" s="1385">
        <v>195.827</v>
      </c>
      <c r="D146" s="1385">
        <v>1683.47</v>
      </c>
      <c r="E146" s="1385">
        <v>1.0125716392096709</v>
      </c>
      <c r="F146" s="1385">
        <v>6.0675718651498789</v>
      </c>
      <c r="K146" s="1465">
        <v>42203</v>
      </c>
      <c r="L146" s="1466"/>
      <c r="M146" s="1467">
        <v>0</v>
      </c>
      <c r="N146" s="1468">
        <v>1.0479489799332689</v>
      </c>
      <c r="O146" s="1468">
        <v>1.0479489799332689</v>
      </c>
    </row>
    <row r="147" spans="2:15">
      <c r="B147" s="1384">
        <v>36892</v>
      </c>
      <c r="C147" s="1385">
        <v>197.04499999999999</v>
      </c>
      <c r="D147" s="1385">
        <v>1693.07</v>
      </c>
      <c r="E147" s="1385">
        <v>1.0126506879847863</v>
      </c>
      <c r="F147" s="1385">
        <v>6.144330823641158</v>
      </c>
      <c r="K147" s="1465">
        <v>42204</v>
      </c>
      <c r="L147" s="1466"/>
      <c r="M147" s="1467">
        <v>0</v>
      </c>
      <c r="N147" s="1468">
        <v>1.0479489799332689</v>
      </c>
      <c r="O147" s="1468">
        <v>1.0479489799332689</v>
      </c>
    </row>
    <row r="148" spans="2:15">
      <c r="B148" s="1384">
        <v>36923</v>
      </c>
      <c r="C148" s="1385">
        <v>197.49100000000001</v>
      </c>
      <c r="D148" s="1385">
        <v>1700.86</v>
      </c>
      <c r="E148" s="1385">
        <v>1.0101583510827936</v>
      </c>
      <c r="F148" s="1385">
        <v>6.206747093316535</v>
      </c>
      <c r="K148" s="1465">
        <v>42205</v>
      </c>
      <c r="L148" s="1466" t="s">
        <v>2127</v>
      </c>
      <c r="M148" s="1467">
        <v>5.0788E-2</v>
      </c>
      <c r="N148" s="1468">
        <v>1.0484812122611973</v>
      </c>
      <c r="O148" s="1468">
        <v>1.0484812122611973</v>
      </c>
    </row>
    <row r="149" spans="2:15">
      <c r="B149" s="1384">
        <v>36951</v>
      </c>
      <c r="C149" s="1385">
        <v>198.60599999999999</v>
      </c>
      <c r="D149" s="1385">
        <v>1707.32</v>
      </c>
      <c r="E149" s="1385">
        <v>1.0125785495836725</v>
      </c>
      <c r="F149" s="1385">
        <v>6.2848189693831324</v>
      </c>
      <c r="K149" s="1465">
        <v>42206</v>
      </c>
      <c r="L149" s="1466" t="s">
        <v>2127</v>
      </c>
      <c r="M149" s="1467">
        <v>5.0788E-2</v>
      </c>
      <c r="N149" s="1468">
        <v>1.0490137148992804</v>
      </c>
      <c r="O149" s="1468">
        <v>1.0490137148992804</v>
      </c>
    </row>
    <row r="150" spans="2:15">
      <c r="B150" s="1384">
        <v>36982</v>
      </c>
      <c r="C150" s="1385">
        <v>200.59100000000001</v>
      </c>
      <c r="D150" s="1385">
        <v>1717.22</v>
      </c>
      <c r="E150" s="1385">
        <v>1.0118637336714187</v>
      </c>
      <c r="F150" s="1385">
        <v>6.3593803878089741</v>
      </c>
      <c r="K150" s="1465">
        <v>42207</v>
      </c>
      <c r="L150" s="1466" t="s">
        <v>2127</v>
      </c>
      <c r="M150" s="1467">
        <v>5.0788E-2</v>
      </c>
      <c r="N150" s="1468">
        <v>1.0495464879848035</v>
      </c>
      <c r="O150" s="1468">
        <v>1.0495464879848035</v>
      </c>
    </row>
    <row r="151" spans="2:15">
      <c r="B151" s="1384">
        <v>37012</v>
      </c>
      <c r="C151" s="1385">
        <v>202.32400000000001</v>
      </c>
      <c r="D151" s="1385">
        <v>1724.26</v>
      </c>
      <c r="E151" s="1385">
        <v>1.0133677002760824</v>
      </c>
      <c r="F151" s="1385">
        <v>6.4443906787748011</v>
      </c>
      <c r="K151" s="1465">
        <v>42208</v>
      </c>
      <c r="L151" s="1466" t="s">
        <v>2127</v>
      </c>
      <c r="M151" s="1467">
        <v>5.0788E-2</v>
      </c>
      <c r="N151" s="1468">
        <v>1.0500795316551212</v>
      </c>
      <c r="O151" s="1468">
        <v>1.0500795316551212</v>
      </c>
    </row>
    <row r="152" spans="2:15">
      <c r="B152" s="1384">
        <v>37043</v>
      </c>
      <c r="C152" s="1385">
        <v>204.31</v>
      </c>
      <c r="D152" s="1385">
        <v>1733.23</v>
      </c>
      <c r="E152" s="1385">
        <v>1.0127331554566117</v>
      </c>
      <c r="F152" s="1385">
        <v>6.5264481071107801</v>
      </c>
      <c r="K152" s="1465">
        <v>42209</v>
      </c>
      <c r="L152" s="1466" t="s">
        <v>2127</v>
      </c>
      <c r="M152" s="1467">
        <v>5.0788E-2</v>
      </c>
      <c r="N152" s="1468">
        <v>1.0506128460476583</v>
      </c>
      <c r="O152" s="1468">
        <v>1.0506128460476583</v>
      </c>
    </row>
    <row r="153" spans="2:15">
      <c r="B153" s="1384">
        <v>37073</v>
      </c>
      <c r="C153" s="1385">
        <v>207.34100000000001</v>
      </c>
      <c r="D153" s="1385">
        <v>1756.28</v>
      </c>
      <c r="E153" s="1385">
        <v>1.014979822756394</v>
      </c>
      <c r="F153" s="1385">
        <v>6.6242131429841029</v>
      </c>
      <c r="K153" s="1465">
        <v>42210</v>
      </c>
      <c r="L153" s="1466"/>
      <c r="M153" s="1467">
        <v>0</v>
      </c>
      <c r="N153" s="1468">
        <v>1.0506128460476583</v>
      </c>
      <c r="O153" s="1468">
        <v>1.0506128460476583</v>
      </c>
    </row>
    <row r="154" spans="2:15">
      <c r="B154" s="1384">
        <v>37104</v>
      </c>
      <c r="C154" s="1385">
        <v>210.21100000000001</v>
      </c>
      <c r="D154" s="1385">
        <v>1768.57</v>
      </c>
      <c r="E154" s="1385">
        <v>1.0160000122718875</v>
      </c>
      <c r="F154" s="1385">
        <v>6.7302006345634471</v>
      </c>
      <c r="K154" s="1465">
        <v>42211</v>
      </c>
      <c r="L154" s="1466"/>
      <c r="M154" s="1467">
        <v>0</v>
      </c>
      <c r="N154" s="1468">
        <v>1.0506128460476583</v>
      </c>
      <c r="O154" s="1468">
        <v>1.0506128460476583</v>
      </c>
    </row>
    <row r="155" spans="2:15">
      <c r="B155" s="1384">
        <v>37135</v>
      </c>
      <c r="C155" s="1385">
        <v>210.85300000000001</v>
      </c>
      <c r="D155" s="1385">
        <v>1773.52</v>
      </c>
      <c r="E155" s="1385">
        <v>1.013243107438228</v>
      </c>
      <c r="F155" s="1385">
        <v>6.8193294046478012</v>
      </c>
      <c r="K155" s="1465">
        <v>42212</v>
      </c>
      <c r="L155" s="1466" t="s">
        <v>2127</v>
      </c>
      <c r="M155" s="1467">
        <v>5.0788E-2</v>
      </c>
      <c r="N155" s="1468">
        <v>1.051146431299909</v>
      </c>
      <c r="O155" s="1468">
        <v>1.051146431299909</v>
      </c>
    </row>
    <row r="156" spans="2:15">
      <c r="B156" s="1384">
        <v>37165</v>
      </c>
      <c r="C156" s="1385">
        <v>213.339</v>
      </c>
      <c r="D156" s="1385">
        <v>1788.24</v>
      </c>
      <c r="E156" s="1385">
        <v>1.0153493751182632</v>
      </c>
      <c r="F156" s="1385">
        <v>6.9240018497347426</v>
      </c>
      <c r="K156" s="1465">
        <v>42213</v>
      </c>
      <c r="L156" s="1466" t="s">
        <v>2127</v>
      </c>
      <c r="M156" s="1467">
        <v>5.0788E-2</v>
      </c>
      <c r="N156" s="1468">
        <v>1.0516802875494375</v>
      </c>
      <c r="O156" s="1468">
        <v>1.0516802875494375</v>
      </c>
    </row>
    <row r="157" spans="2:15">
      <c r="B157" s="1384">
        <v>37196</v>
      </c>
      <c r="C157" s="1385">
        <v>215.685</v>
      </c>
      <c r="D157" s="1385">
        <v>1800.94</v>
      </c>
      <c r="E157" s="1385">
        <v>1.0139343824698488</v>
      </c>
      <c r="F157" s="1385">
        <v>7.0204835397308871</v>
      </c>
      <c r="K157" s="1465">
        <v>42214</v>
      </c>
      <c r="L157" s="1466" t="s">
        <v>2127</v>
      </c>
      <c r="M157" s="1467">
        <v>5.0788E-2</v>
      </c>
      <c r="N157" s="1468">
        <v>1.0522144149338781</v>
      </c>
      <c r="O157" s="1468">
        <v>1.0522144149338781</v>
      </c>
    </row>
    <row r="158" spans="2:15">
      <c r="B158" s="1384">
        <v>37226</v>
      </c>
      <c r="C158" s="1385">
        <v>216.16300000000001</v>
      </c>
      <c r="D158" s="1385">
        <v>1812.65</v>
      </c>
      <c r="E158" s="1385">
        <v>1.0139354159682339</v>
      </c>
      <c r="F158" s="1385">
        <v>7.1183168981551761</v>
      </c>
      <c r="K158" s="1465">
        <v>42215</v>
      </c>
      <c r="L158" s="1466" t="s">
        <v>2127</v>
      </c>
      <c r="M158" s="1467">
        <v>5.2531000000000001E-2</v>
      </c>
      <c r="N158" s="1468">
        <v>1.0527671536881871</v>
      </c>
      <c r="O158" s="1468">
        <v>1.0527671536881871</v>
      </c>
    </row>
    <row r="159" spans="2:15">
      <c r="B159" s="1384">
        <v>37257</v>
      </c>
      <c r="C159" s="1385">
        <v>216.94399999999999</v>
      </c>
      <c r="D159" s="1385">
        <v>1822.08</v>
      </c>
      <c r="E159" s="1385">
        <v>1.0153395939759675</v>
      </c>
      <c r="F159" s="1385">
        <v>7.2275089891651447</v>
      </c>
      <c r="K159" s="1465">
        <v>42216</v>
      </c>
      <c r="L159" s="1466" t="s">
        <v>2127</v>
      </c>
      <c r="M159" s="1467">
        <v>5.2531000000000001E-2</v>
      </c>
      <c r="N159" s="1468">
        <v>1.0533201828016909</v>
      </c>
      <c r="O159" s="1468">
        <v>1.0533201828016909</v>
      </c>
    </row>
    <row r="160" spans="2:15">
      <c r="B160" s="1384">
        <v>37288</v>
      </c>
      <c r="C160" s="1385">
        <v>217.07400000000001</v>
      </c>
      <c r="D160" s="1385">
        <v>1828.64</v>
      </c>
      <c r="E160" s="1385">
        <v>1.012482154231837</v>
      </c>
      <c r="F160" s="1385">
        <v>7.3177238710798918</v>
      </c>
      <c r="K160" s="1465">
        <v>42217</v>
      </c>
      <c r="L160" s="1466"/>
      <c r="M160" s="1467">
        <v>0</v>
      </c>
      <c r="N160" s="1468">
        <v>1.0533201828016909</v>
      </c>
      <c r="O160" s="1468">
        <v>1.0533201828016909</v>
      </c>
    </row>
    <row r="161" spans="2:15">
      <c r="B161" s="1384">
        <v>37316</v>
      </c>
      <c r="C161" s="1385">
        <v>217.27600000000001</v>
      </c>
      <c r="D161" s="1385">
        <v>1839.61</v>
      </c>
      <c r="E161" s="1385">
        <v>1.013713327882185</v>
      </c>
      <c r="F161" s="1385">
        <v>7.4180742178753025</v>
      </c>
      <c r="K161" s="1465">
        <v>42218</v>
      </c>
      <c r="L161" s="1466"/>
      <c r="M161" s="1467">
        <v>0</v>
      </c>
      <c r="N161" s="1468">
        <v>1.0533201828016909</v>
      </c>
      <c r="O161" s="1468">
        <v>1.0533201828016909</v>
      </c>
    </row>
    <row r="162" spans="2:15">
      <c r="B162" s="1384">
        <v>37347</v>
      </c>
      <c r="C162" s="1385">
        <v>218.48599999999999</v>
      </c>
      <c r="D162" s="1385">
        <v>1854.33</v>
      </c>
      <c r="E162" s="1385">
        <v>1.0148356719718208</v>
      </c>
      <c r="F162" s="1385">
        <v>7.5281263336343214</v>
      </c>
      <c r="K162" s="1465">
        <v>42219</v>
      </c>
      <c r="L162" s="1466" t="s">
        <v>2127</v>
      </c>
      <c r="M162" s="1467">
        <v>5.2531000000000001E-2</v>
      </c>
      <c r="N162" s="1468">
        <v>1.0538735024269186</v>
      </c>
      <c r="O162" s="1468">
        <v>1.0538735024269186</v>
      </c>
    </row>
    <row r="163" spans="2:15">
      <c r="B163" s="1384">
        <v>37377</v>
      </c>
      <c r="C163" s="1385">
        <v>220.292</v>
      </c>
      <c r="D163" s="1385">
        <v>1858.22</v>
      </c>
      <c r="E163" s="1385">
        <v>1.0141498936566418</v>
      </c>
      <c r="F163" s="1385">
        <v>7.6346485206890113</v>
      </c>
      <c r="K163" s="1465">
        <v>42220</v>
      </c>
      <c r="L163" s="1466" t="s">
        <v>2127</v>
      </c>
      <c r="M163" s="1467">
        <v>5.2531000000000001E-2</v>
      </c>
      <c r="N163" s="1468">
        <v>1.0544271127164784</v>
      </c>
      <c r="O163" s="1468">
        <v>1.0544271127164784</v>
      </c>
    </row>
    <row r="164" spans="2:15">
      <c r="B164" s="1384">
        <v>37408</v>
      </c>
      <c r="C164" s="1385">
        <v>223.68799999999999</v>
      </c>
      <c r="D164" s="1385">
        <v>1866.02</v>
      </c>
      <c r="E164" s="1385">
        <v>1.0132903281280037</v>
      </c>
      <c r="F164" s="1385">
        <v>7.7361155046709458</v>
      </c>
      <c r="K164" s="1465">
        <v>42221</v>
      </c>
      <c r="L164" s="1466" t="s">
        <v>2127</v>
      </c>
      <c r="M164" s="1467">
        <v>5.2531000000000001E-2</v>
      </c>
      <c r="N164" s="1468">
        <v>1.0549810138230595</v>
      </c>
      <c r="O164" s="1468">
        <v>1.0549810138230595</v>
      </c>
    </row>
    <row r="165" spans="2:15">
      <c r="B165" s="1384">
        <v>37438</v>
      </c>
      <c r="C165" s="1385">
        <v>228.05699999999999</v>
      </c>
      <c r="D165" s="1385">
        <v>1888.23</v>
      </c>
      <c r="E165" s="1385">
        <v>1.0153543455443825</v>
      </c>
      <c r="F165" s="1385">
        <v>7.8548984953009189</v>
      </c>
      <c r="K165" s="1465">
        <v>42222</v>
      </c>
      <c r="L165" s="1466" t="s">
        <v>2127</v>
      </c>
      <c r="M165" s="1467">
        <v>5.2531000000000001E-2</v>
      </c>
      <c r="N165" s="1468">
        <v>1.055535205899431</v>
      </c>
      <c r="O165" s="1468">
        <v>1.055535205899431</v>
      </c>
    </row>
    <row r="166" spans="2:15">
      <c r="B166" s="1384">
        <v>37469</v>
      </c>
      <c r="C166" s="1385">
        <v>233.34800000000001</v>
      </c>
      <c r="D166" s="1385">
        <v>1900.5</v>
      </c>
      <c r="E166" s="1385">
        <v>1.0144340404848073</v>
      </c>
      <c r="F166" s="1385">
        <v>7.9682764181861447</v>
      </c>
      <c r="K166" s="1465">
        <v>42223</v>
      </c>
      <c r="L166" s="1466" t="s">
        <v>2127</v>
      </c>
      <c r="M166" s="1467">
        <v>5.2531000000000001E-2</v>
      </c>
      <c r="N166" s="1468">
        <v>1.0560896890984419</v>
      </c>
      <c r="O166" s="1468">
        <v>1.0560896890984419</v>
      </c>
    </row>
    <row r="167" spans="2:15">
      <c r="B167" s="1384">
        <v>37500</v>
      </c>
      <c r="C167" s="1385">
        <v>238.94300000000001</v>
      </c>
      <c r="D167" s="1385">
        <v>1914.18</v>
      </c>
      <c r="E167" s="1385">
        <v>1.0138126637754254</v>
      </c>
      <c r="F167" s="1385">
        <v>8.0783395412202008</v>
      </c>
      <c r="K167" s="1465">
        <v>42224</v>
      </c>
      <c r="L167" s="1466"/>
      <c r="M167" s="1467">
        <v>0</v>
      </c>
      <c r="N167" s="1468">
        <v>1.0560896890984419</v>
      </c>
      <c r="O167" s="1468">
        <v>1.0560896890984419</v>
      </c>
    </row>
    <row r="168" spans="2:15">
      <c r="B168" s="1384">
        <v>37530</v>
      </c>
      <c r="C168" s="1385">
        <v>248.19900000000001</v>
      </c>
      <c r="D168" s="1385">
        <v>1939.26</v>
      </c>
      <c r="E168" s="1385">
        <v>1.0164592520111337</v>
      </c>
      <c r="F168" s="1385">
        <v>8.2113029675606501</v>
      </c>
      <c r="K168" s="1465">
        <v>42225</v>
      </c>
      <c r="L168" s="1466"/>
      <c r="M168" s="1467">
        <v>0</v>
      </c>
      <c r="N168" s="1468">
        <v>1.0560896890984419</v>
      </c>
      <c r="O168" s="1468">
        <v>1.0560896890984419</v>
      </c>
    </row>
    <row r="169" spans="2:15">
      <c r="B169" s="1384">
        <v>37561</v>
      </c>
      <c r="C169" s="1385">
        <v>261.08</v>
      </c>
      <c r="D169" s="1385">
        <v>1997.83</v>
      </c>
      <c r="E169" s="1385">
        <v>1.0154093077816833</v>
      </c>
      <c r="F169" s="1385">
        <v>8.337833462276441</v>
      </c>
      <c r="K169" s="1465">
        <v>42226</v>
      </c>
      <c r="L169" s="1466" t="s">
        <v>2127</v>
      </c>
      <c r="M169" s="1467">
        <v>5.2531000000000001E-2</v>
      </c>
      <c r="N169" s="1468">
        <v>1.0566444635730223</v>
      </c>
      <c r="O169" s="1468">
        <v>1.0566444635730223</v>
      </c>
    </row>
    <row r="170" spans="2:15">
      <c r="B170" s="1384">
        <v>37591</v>
      </c>
      <c r="C170" s="1385">
        <v>270.86700000000002</v>
      </c>
      <c r="D170" s="1385">
        <v>2039.78</v>
      </c>
      <c r="E170" s="1385">
        <v>1.0174244857414556</v>
      </c>
      <c r="F170" s="1385">
        <v>8.483115922554509</v>
      </c>
      <c r="K170" s="1465">
        <v>42227</v>
      </c>
      <c r="L170" s="1466" t="s">
        <v>2127</v>
      </c>
      <c r="M170" s="1467">
        <v>5.2531000000000001E-2</v>
      </c>
      <c r="N170" s="1468">
        <v>1.0571995294761818</v>
      </c>
      <c r="O170" s="1468">
        <v>1.0571995294761818</v>
      </c>
    </row>
    <row r="171" spans="2:15">
      <c r="B171" s="1384">
        <v>37622</v>
      </c>
      <c r="C171" s="1385">
        <v>277.173</v>
      </c>
      <c r="D171" s="1385">
        <v>2085.6799999999998</v>
      </c>
      <c r="E171" s="1385">
        <v>1.0197126646415859</v>
      </c>
      <c r="F171" s="1385">
        <v>8.6503407418515241</v>
      </c>
      <c r="K171" s="1465">
        <v>42228</v>
      </c>
      <c r="L171" s="1466" t="s">
        <v>2127</v>
      </c>
      <c r="M171" s="1467">
        <v>5.2531000000000001E-2</v>
      </c>
      <c r="N171" s="1468">
        <v>1.0577548869610109</v>
      </c>
      <c r="O171" s="1468">
        <v>1.0577548869610109</v>
      </c>
    </row>
    <row r="172" spans="2:15">
      <c r="B172" s="1384">
        <v>37653</v>
      </c>
      <c r="C172" s="1385">
        <v>283.50599999999997</v>
      </c>
      <c r="D172" s="1385">
        <v>2118.4299999999998</v>
      </c>
      <c r="E172" s="1385">
        <v>1.0183037986307939</v>
      </c>
      <c r="F172" s="1385">
        <v>8.8086748368781276</v>
      </c>
      <c r="K172" s="1465">
        <v>42229</v>
      </c>
      <c r="L172" s="1466" t="s">
        <v>2127</v>
      </c>
      <c r="M172" s="1467">
        <v>5.2531000000000001E-2</v>
      </c>
      <c r="N172" s="1468">
        <v>1.0583105361806804</v>
      </c>
      <c r="O172" s="1468">
        <v>1.0583105361806804</v>
      </c>
    </row>
    <row r="173" spans="2:15">
      <c r="B173" s="1384">
        <v>37681</v>
      </c>
      <c r="C173" s="1385">
        <v>287.85500000000002</v>
      </c>
      <c r="D173" s="1385">
        <v>2144.4899999999998</v>
      </c>
      <c r="E173" s="1385">
        <v>1.0177701866474056</v>
      </c>
      <c r="F173" s="1385">
        <v>8.9652066328457565</v>
      </c>
      <c r="K173" s="1465">
        <v>42230</v>
      </c>
      <c r="L173" s="1466" t="s">
        <v>2127</v>
      </c>
      <c r="M173" s="1467">
        <v>5.2531000000000001E-2</v>
      </c>
      <c r="N173" s="1468">
        <v>1.0588664772884415</v>
      </c>
      <c r="O173" s="1468">
        <v>1.0588664772884415</v>
      </c>
    </row>
    <row r="174" spans="2:15">
      <c r="B174" s="1384">
        <v>37712</v>
      </c>
      <c r="C174" s="1385">
        <v>290.512</v>
      </c>
      <c r="D174" s="1385">
        <v>2165.29</v>
      </c>
      <c r="E174" s="1385">
        <v>1.0187159495984839</v>
      </c>
      <c r="F174" s="1385">
        <v>9.1329989883260918</v>
      </c>
      <c r="K174" s="1465">
        <v>42231</v>
      </c>
      <c r="L174" s="1466"/>
      <c r="M174" s="1467">
        <v>0</v>
      </c>
      <c r="N174" s="1468">
        <v>1.0588664772884415</v>
      </c>
      <c r="O174" s="1468">
        <v>1.0588664772884415</v>
      </c>
    </row>
    <row r="175" spans="2:15">
      <c r="B175" s="1384">
        <v>37742</v>
      </c>
      <c r="C175" s="1385">
        <v>289.74700000000001</v>
      </c>
      <c r="D175" s="1385">
        <v>2178.5</v>
      </c>
      <c r="E175" s="1385">
        <v>1.0196535248447016</v>
      </c>
      <c r="F175" s="1385">
        <v>9.312494610849793</v>
      </c>
      <c r="K175" s="1465">
        <v>42232</v>
      </c>
      <c r="L175" s="1466"/>
      <c r="M175" s="1467">
        <v>0</v>
      </c>
      <c r="N175" s="1468">
        <v>1.0588664772884415</v>
      </c>
      <c r="O175" s="1468">
        <v>1.0588664772884415</v>
      </c>
    </row>
    <row r="176" spans="2:15">
      <c r="B176" s="1384">
        <v>37773</v>
      </c>
      <c r="C176" s="1385">
        <v>286.84300000000002</v>
      </c>
      <c r="D176" s="1385">
        <v>2175.23</v>
      </c>
      <c r="E176" s="1385">
        <v>1.0185667947451373</v>
      </c>
      <c r="F176" s="1385">
        <v>9.4853977868546391</v>
      </c>
      <c r="K176" s="1465">
        <v>42233</v>
      </c>
      <c r="L176" s="1466" t="s">
        <v>2127</v>
      </c>
      <c r="M176" s="1467">
        <v>5.2531000000000001E-2</v>
      </c>
      <c r="N176" s="1468">
        <v>1.0594227104376259</v>
      </c>
      <c r="O176" s="1468">
        <v>1.0594227104376259</v>
      </c>
    </row>
    <row r="177" spans="2:15">
      <c r="B177" s="1384">
        <v>37803</v>
      </c>
      <c r="C177" s="1385">
        <v>285.649</v>
      </c>
      <c r="D177" s="1385">
        <v>2179.58</v>
      </c>
      <c r="E177" s="1385">
        <v>1.0208424747911398</v>
      </c>
      <c r="F177" s="1385">
        <v>9.6830969511110894</v>
      </c>
      <c r="K177" s="1465">
        <v>42234</v>
      </c>
      <c r="L177" s="1466" t="s">
        <v>2127</v>
      </c>
      <c r="M177" s="1467">
        <v>5.2531000000000001E-2</v>
      </c>
      <c r="N177" s="1468">
        <v>1.059979235781646</v>
      </c>
      <c r="O177" s="1468">
        <v>1.059979235781646</v>
      </c>
    </row>
    <row r="178" spans="2:15">
      <c r="B178" s="1384">
        <v>37834</v>
      </c>
      <c r="C178" s="1385">
        <v>286.73500000000001</v>
      </c>
      <c r="D178" s="1385">
        <v>2186.9899999999998</v>
      </c>
      <c r="E178" s="1385">
        <v>1.0177426111342931</v>
      </c>
      <c r="F178" s="1385">
        <v>9.8549003748903132</v>
      </c>
      <c r="K178" s="1465">
        <v>42235</v>
      </c>
      <c r="L178" s="1466" t="s">
        <v>2127</v>
      </c>
      <c r="M178" s="1467">
        <v>5.2531000000000001E-2</v>
      </c>
      <c r="N178" s="1468">
        <v>1.0605360534739945</v>
      </c>
      <c r="O178" s="1468">
        <v>1.0605360534739945</v>
      </c>
    </row>
    <row r="179" spans="2:15">
      <c r="B179" s="1384">
        <v>37865</v>
      </c>
      <c r="C179" s="1385">
        <v>290.12700000000001</v>
      </c>
      <c r="D179" s="1385">
        <v>2204.0500000000002</v>
      </c>
      <c r="E179" s="1385">
        <v>1.0167950902831471</v>
      </c>
      <c r="F179" s="1385">
        <v>10.020414316418016</v>
      </c>
      <c r="K179" s="1465">
        <v>42236</v>
      </c>
      <c r="L179" s="1466" t="s">
        <v>2127</v>
      </c>
      <c r="M179" s="1467">
        <v>5.2531000000000001E-2</v>
      </c>
      <c r="N179" s="1468">
        <v>1.061093163668245</v>
      </c>
      <c r="O179" s="1468">
        <v>1.061093163668245</v>
      </c>
    </row>
    <row r="180" spans="2:15">
      <c r="B180" s="1384">
        <v>37895</v>
      </c>
      <c r="C180" s="1385">
        <v>291.22899999999998</v>
      </c>
      <c r="D180" s="1385">
        <v>2210.44</v>
      </c>
      <c r="E180" s="1385">
        <v>1.0164205992977207</v>
      </c>
      <c r="F180" s="1385">
        <v>10.18495552470506</v>
      </c>
      <c r="K180" s="1465">
        <v>42237</v>
      </c>
      <c r="L180" s="1466" t="s">
        <v>2127</v>
      </c>
      <c r="M180" s="1467">
        <v>5.2531000000000001E-2</v>
      </c>
      <c r="N180" s="1468">
        <v>1.0616505665180516</v>
      </c>
      <c r="O180" s="1468">
        <v>1.0616505665180516</v>
      </c>
    </row>
    <row r="181" spans="2:15">
      <c r="B181" s="1384">
        <v>37926</v>
      </c>
      <c r="C181" s="1385">
        <v>292.65699999999998</v>
      </c>
      <c r="D181" s="1385">
        <v>2217.96</v>
      </c>
      <c r="E181" s="1385">
        <v>1.0134353138584866</v>
      </c>
      <c r="F181" s="1385">
        <v>10.3217935988142</v>
      </c>
      <c r="K181" s="1465">
        <v>42238</v>
      </c>
      <c r="L181" s="1466"/>
      <c r="M181" s="1467">
        <v>0</v>
      </c>
      <c r="N181" s="1468">
        <v>1.0616505665180516</v>
      </c>
      <c r="O181" s="1468">
        <v>1.0616505665180516</v>
      </c>
    </row>
    <row r="182" spans="2:15">
      <c r="B182" s="1384">
        <v>37956</v>
      </c>
      <c r="C182" s="1385">
        <v>294.45499999999998</v>
      </c>
      <c r="D182" s="1385">
        <v>2229.4899999999998</v>
      </c>
      <c r="E182" s="1385">
        <v>1.0137325047762002</v>
      </c>
      <c r="F182" s="1385">
        <v>10.463537678708869</v>
      </c>
      <c r="K182" s="1465">
        <v>42239</v>
      </c>
      <c r="L182" s="1466"/>
      <c r="M182" s="1467">
        <v>0</v>
      </c>
      <c r="N182" s="1468">
        <v>1.0616505665180516</v>
      </c>
      <c r="O182" s="1468">
        <v>1.0616505665180516</v>
      </c>
    </row>
    <row r="183" spans="2:15">
      <c r="B183" s="1384">
        <v>37987</v>
      </c>
      <c r="C183" s="1385">
        <v>297.03899999999999</v>
      </c>
      <c r="D183" s="1385">
        <v>2246.4299999999998</v>
      </c>
      <c r="E183" s="1385">
        <v>1.0126755135884871</v>
      </c>
      <c r="F183" s="1385">
        <v>10.59616839273899</v>
      </c>
      <c r="K183" s="1465">
        <v>42240</v>
      </c>
      <c r="L183" s="1466" t="s">
        <v>2127</v>
      </c>
      <c r="M183" s="1467">
        <v>5.2531000000000001E-2</v>
      </c>
      <c r="N183" s="1468">
        <v>1.0622082621771491</v>
      </c>
      <c r="O183" s="1468">
        <v>1.0622082621771491</v>
      </c>
    </row>
    <row r="184" spans="2:15">
      <c r="B184" s="1384">
        <v>38018</v>
      </c>
      <c r="C184" s="1385">
        <v>299.09699999999998</v>
      </c>
      <c r="D184" s="1385">
        <v>2260.13</v>
      </c>
      <c r="E184" s="1385">
        <v>1.0108439419169848</v>
      </c>
      <c r="F184" s="1385">
        <v>10.711072627332442</v>
      </c>
      <c r="K184" s="1465">
        <v>42241</v>
      </c>
      <c r="L184" s="1466" t="s">
        <v>2127</v>
      </c>
      <c r="M184" s="1467">
        <v>5.2531000000000001E-2</v>
      </c>
      <c r="N184" s="1468">
        <v>1.0627662507993534</v>
      </c>
      <c r="O184" s="1468">
        <v>1.0627662507993534</v>
      </c>
    </row>
    <row r="185" spans="2:15">
      <c r="B185" s="1384">
        <v>38047</v>
      </c>
      <c r="C185" s="1385">
        <v>302.48399999999998</v>
      </c>
      <c r="D185" s="1385">
        <v>2270.75</v>
      </c>
      <c r="E185" s="1385">
        <v>1.0137912342986635</v>
      </c>
      <c r="F185" s="1385">
        <v>10.858791539525985</v>
      </c>
      <c r="K185" s="1465">
        <v>42242</v>
      </c>
      <c r="L185" s="1466" t="s">
        <v>2127</v>
      </c>
      <c r="M185" s="1467">
        <v>5.2531000000000001E-2</v>
      </c>
      <c r="N185" s="1468">
        <v>1.0633245325385607</v>
      </c>
      <c r="O185" s="1468">
        <v>1.0633245325385607</v>
      </c>
    </row>
    <row r="186" spans="2:15">
      <c r="B186" s="1384">
        <v>38078</v>
      </c>
      <c r="C186" s="1385">
        <v>306.15100000000001</v>
      </c>
      <c r="D186" s="1385">
        <v>2279.15</v>
      </c>
      <c r="E186" s="1385">
        <v>1.011818501098614</v>
      </c>
      <c r="F186" s="1385">
        <v>10.987126179265493</v>
      </c>
      <c r="K186" s="1465">
        <v>42243</v>
      </c>
      <c r="L186" s="1466" t="s">
        <v>2127</v>
      </c>
      <c r="M186" s="1467">
        <v>5.2531000000000001E-2</v>
      </c>
      <c r="N186" s="1468">
        <v>1.0638831075487485</v>
      </c>
      <c r="O186" s="1468">
        <v>1.0638831075487485</v>
      </c>
    </row>
    <row r="187" spans="2:15">
      <c r="B187" s="1384">
        <v>38108</v>
      </c>
      <c r="C187" s="1385">
        <v>310.15199999999999</v>
      </c>
      <c r="D187" s="1385">
        <v>2290.77</v>
      </c>
      <c r="E187" s="1385">
        <v>1.0122780474663127</v>
      </c>
      <c r="F187" s="1385">
        <v>11.122026636012881</v>
      </c>
      <c r="K187" s="1465">
        <v>42244</v>
      </c>
      <c r="L187" s="1466" t="s">
        <v>2127</v>
      </c>
      <c r="M187" s="1467">
        <v>5.2531000000000001E-2</v>
      </c>
      <c r="N187" s="1468">
        <v>1.0644419759839749</v>
      </c>
      <c r="O187" s="1468">
        <v>1.0644419759839749</v>
      </c>
    </row>
    <row r="188" spans="2:15">
      <c r="B188" s="1384">
        <v>38139</v>
      </c>
      <c r="C188" s="1385">
        <v>314.41899999999998</v>
      </c>
      <c r="D188" s="1385">
        <v>2307.0300000000002</v>
      </c>
      <c r="E188" s="1385">
        <v>1.0122988884857291</v>
      </c>
      <c r="F188" s="1385">
        <v>11.258815201344513</v>
      </c>
      <c r="K188" s="1465">
        <v>42245</v>
      </c>
      <c r="L188" s="1466"/>
      <c r="M188" s="1467">
        <v>0</v>
      </c>
      <c r="N188" s="1468">
        <v>1.0644419759839749</v>
      </c>
      <c r="O188" s="1468">
        <v>1.0644419759839749</v>
      </c>
    </row>
    <row r="189" spans="2:15">
      <c r="B189" s="1384">
        <v>38169</v>
      </c>
      <c r="C189" s="1385">
        <v>318.53199999999998</v>
      </c>
      <c r="D189" s="1385">
        <v>2328.02</v>
      </c>
      <c r="E189" s="1385">
        <v>1.012868893920805</v>
      </c>
      <c r="F189" s="1385">
        <v>11.403703699844563</v>
      </c>
      <c r="K189" s="1465">
        <v>42246</v>
      </c>
      <c r="L189" s="1466"/>
      <c r="M189" s="1467">
        <v>0</v>
      </c>
      <c r="N189" s="1468">
        <v>1.0644419759839749</v>
      </c>
      <c r="O189" s="1468">
        <v>1.0644419759839749</v>
      </c>
    </row>
    <row r="190" spans="2:15">
      <c r="B190" s="1384">
        <v>38200</v>
      </c>
      <c r="C190" s="1385">
        <v>322.41199999999998</v>
      </c>
      <c r="D190" s="1385">
        <v>2344.08</v>
      </c>
      <c r="E190" s="1385">
        <v>1.0129358583775749</v>
      </c>
      <c r="F190" s="1385">
        <v>11.551220395885579</v>
      </c>
      <c r="K190" s="1465">
        <v>42247</v>
      </c>
      <c r="L190" s="1466" t="s">
        <v>2127</v>
      </c>
      <c r="M190" s="1467">
        <v>5.2531000000000001E-2</v>
      </c>
      <c r="N190" s="1468">
        <v>1.065001137998379</v>
      </c>
      <c r="O190" s="1468">
        <v>1.065001137998379</v>
      </c>
    </row>
    <row r="191" spans="2:15">
      <c r="B191" s="1384">
        <v>38231</v>
      </c>
      <c r="C191" s="1385">
        <v>324.65100000000001</v>
      </c>
      <c r="D191" s="1385">
        <v>2351.8200000000002</v>
      </c>
      <c r="E191" s="1385">
        <v>1.0125132709021758</v>
      </c>
      <c r="F191" s="1385">
        <v>11.695763945950034</v>
      </c>
      <c r="K191" s="1465">
        <v>42248</v>
      </c>
      <c r="L191" s="1466" t="s">
        <v>2127</v>
      </c>
      <c r="M191" s="1467">
        <v>5.2531000000000001E-2</v>
      </c>
      <c r="N191" s="1468">
        <v>1.065560593746181</v>
      </c>
      <c r="O191" s="1468">
        <v>1.065560593746181</v>
      </c>
    </row>
    <row r="192" spans="2:15">
      <c r="B192" s="1384">
        <v>38261</v>
      </c>
      <c r="C192" s="1385">
        <v>325.92500000000001</v>
      </c>
      <c r="D192" s="1385">
        <v>2362.17</v>
      </c>
      <c r="E192" s="1385">
        <v>1.0121322386789289</v>
      </c>
      <c r="F192" s="1385">
        <v>11.837659745674712</v>
      </c>
      <c r="K192" s="1465">
        <v>42249</v>
      </c>
      <c r="L192" s="1466" t="s">
        <v>2127</v>
      </c>
      <c r="M192" s="1467">
        <v>5.2531000000000001E-2</v>
      </c>
      <c r="N192" s="1468">
        <v>1.0661203433816817</v>
      </c>
      <c r="O192" s="1468">
        <v>1.0661203433816817</v>
      </c>
    </row>
    <row r="193" spans="2:15">
      <c r="B193" s="1384">
        <v>38292</v>
      </c>
      <c r="C193" s="1385">
        <v>328.58800000000002</v>
      </c>
      <c r="D193" s="1385">
        <v>2378.4699999999998</v>
      </c>
      <c r="E193" s="1385">
        <v>1.0125098562166484</v>
      </c>
      <c r="F193" s="1385">
        <v>11.985747167034708</v>
      </c>
      <c r="K193" s="1465">
        <v>42250</v>
      </c>
      <c r="L193" s="1466" t="s">
        <v>2127</v>
      </c>
      <c r="M193" s="1467">
        <v>5.2531000000000001E-2</v>
      </c>
      <c r="N193" s="1468">
        <v>1.0666803870592636</v>
      </c>
      <c r="O193" s="1468">
        <v>1.0666803870592636</v>
      </c>
    </row>
    <row r="194" spans="2:15">
      <c r="B194" s="1384">
        <v>38322</v>
      </c>
      <c r="C194" s="1385">
        <v>331.005</v>
      </c>
      <c r="D194" s="1385">
        <v>2398.92</v>
      </c>
      <c r="E194" s="1385">
        <v>1.0148282315457626</v>
      </c>
      <c r="F194" s="1385">
        <v>12.163474601276468</v>
      </c>
      <c r="K194" s="1465">
        <v>42251</v>
      </c>
      <c r="L194" s="1466" t="s">
        <v>2127</v>
      </c>
      <c r="M194" s="1467">
        <v>5.2531000000000001E-2</v>
      </c>
      <c r="N194" s="1468">
        <v>1.0672407249333897</v>
      </c>
      <c r="O194" s="1468">
        <v>1.0672407249333897</v>
      </c>
    </row>
    <row r="195" spans="2:15">
      <c r="B195" s="1384">
        <v>38353</v>
      </c>
      <c r="C195" s="1385">
        <v>332.298</v>
      </c>
      <c r="D195" s="1385">
        <v>2412.83</v>
      </c>
      <c r="E195" s="1385">
        <v>1.0138388229391033</v>
      </c>
      <c r="F195" s="1385">
        <v>12.331802772607814</v>
      </c>
      <c r="K195" s="1465">
        <v>42252</v>
      </c>
      <c r="L195" s="1466"/>
      <c r="M195" s="1467">
        <v>0</v>
      </c>
      <c r="N195" s="1468">
        <v>1.0672407249333897</v>
      </c>
      <c r="O195" s="1468">
        <v>1.0672407249333897</v>
      </c>
    </row>
    <row r="196" spans="2:15">
      <c r="B196" s="1384">
        <v>38384</v>
      </c>
      <c r="C196" s="1385">
        <v>333.28800000000001</v>
      </c>
      <c r="D196" s="1385">
        <v>2427.0700000000002</v>
      </c>
      <c r="E196" s="1385">
        <v>1.0121818576713373</v>
      </c>
      <c r="F196" s="1385">
        <v>12.482027038814724</v>
      </c>
      <c r="K196" s="1465">
        <v>42253</v>
      </c>
      <c r="L196" s="1466"/>
      <c r="M196" s="1467">
        <v>0</v>
      </c>
      <c r="N196" s="1468">
        <v>1.0672407249333897</v>
      </c>
      <c r="O196" s="1468">
        <v>1.0672407249333897</v>
      </c>
    </row>
    <row r="197" spans="2:15">
      <c r="B197" s="1384">
        <v>38412</v>
      </c>
      <c r="C197" s="1385">
        <v>336.12299999999999</v>
      </c>
      <c r="D197" s="1385">
        <v>2441.87</v>
      </c>
      <c r="E197" s="1385">
        <v>1.0152817807540921</v>
      </c>
      <c r="F197" s="1385">
        <v>12.672774639388541</v>
      </c>
      <c r="G197" s="67"/>
      <c r="K197" s="1465">
        <v>42254</v>
      </c>
      <c r="L197" s="1466"/>
      <c r="M197" s="1467">
        <v>0</v>
      </c>
      <c r="N197" s="1468">
        <v>1.0672407249333897</v>
      </c>
      <c r="O197" s="1468">
        <v>1.0672407249333897</v>
      </c>
    </row>
    <row r="198" spans="2:15">
      <c r="B198" s="1384">
        <v>38443</v>
      </c>
      <c r="C198" s="1385">
        <v>339.03</v>
      </c>
      <c r="D198" s="1385">
        <v>2463.11</v>
      </c>
      <c r="E198" s="1385">
        <v>1.0141152901477553</v>
      </c>
      <c r="F198" s="1385">
        <v>12.851654530400625</v>
      </c>
      <c r="K198" s="1465">
        <v>42255</v>
      </c>
      <c r="L198" s="1466" t="s">
        <v>2127</v>
      </c>
      <c r="M198" s="1467">
        <v>5.2531000000000001E-2</v>
      </c>
      <c r="N198" s="1468">
        <v>1.0678013571586045</v>
      </c>
      <c r="O198" s="1468">
        <v>1.0678013571586045</v>
      </c>
    </row>
    <row r="199" spans="2:15">
      <c r="B199" s="1384">
        <v>38473</v>
      </c>
      <c r="C199" s="1385">
        <v>338.29899999999998</v>
      </c>
      <c r="D199" s="1385">
        <v>2475.1799999999998</v>
      </c>
      <c r="E199" s="1385">
        <v>1.0150306502044895</v>
      </c>
      <c r="F199" s="1385">
        <v>13.044823254196018</v>
      </c>
      <c r="K199" s="1465">
        <v>42256</v>
      </c>
      <c r="L199" s="1466" t="s">
        <v>2127</v>
      </c>
      <c r="M199" s="1467">
        <v>5.2531000000000001E-2</v>
      </c>
      <c r="N199" s="1468">
        <v>1.0683622838895335</v>
      </c>
      <c r="O199" s="1468">
        <v>1.0683622838895335</v>
      </c>
    </row>
    <row r="200" spans="2:15">
      <c r="B200" s="1384">
        <v>38504</v>
      </c>
      <c r="C200" s="1385">
        <v>336.80099999999999</v>
      </c>
      <c r="D200" s="1385">
        <v>2474.6799999999998</v>
      </c>
      <c r="E200" s="1385">
        <v>1.0158560276185216</v>
      </c>
      <c r="F200" s="1385">
        <v>13.251662331993282</v>
      </c>
      <c r="K200" s="1465">
        <v>42257</v>
      </c>
      <c r="L200" s="1466" t="s">
        <v>2127</v>
      </c>
      <c r="M200" s="1467">
        <v>5.2531000000000001E-2</v>
      </c>
      <c r="N200" s="1468">
        <v>1.0689235052808834</v>
      </c>
      <c r="O200" s="1468">
        <v>1.0689235052808834</v>
      </c>
    </row>
    <row r="201" spans="2:15">
      <c r="B201" s="1384">
        <v>38534</v>
      </c>
      <c r="C201" s="1385">
        <v>335.66300000000001</v>
      </c>
      <c r="D201" s="1385">
        <v>2480.87</v>
      </c>
      <c r="E201" s="1385">
        <v>1.0151134516871545</v>
      </c>
      <c r="F201" s="1385">
        <v>13.451940690422347</v>
      </c>
      <c r="K201" s="1465">
        <v>42258</v>
      </c>
      <c r="L201" s="1466" t="s">
        <v>2127</v>
      </c>
      <c r="M201" s="1467">
        <v>5.2531000000000001E-2</v>
      </c>
      <c r="N201" s="1468">
        <v>1.0694850214874425</v>
      </c>
      <c r="O201" s="1468">
        <v>1.0694850214874425</v>
      </c>
    </row>
    <row r="202" spans="2:15">
      <c r="B202" s="1384">
        <v>38565</v>
      </c>
      <c r="C202" s="1385">
        <v>333.47399999999999</v>
      </c>
      <c r="D202" s="1385">
        <v>2485.09</v>
      </c>
      <c r="E202" s="1385">
        <v>1.0165848332092207</v>
      </c>
      <c r="F202" s="1385">
        <v>13.675038883113331</v>
      </c>
      <c r="K202" s="1465">
        <v>42259</v>
      </c>
      <c r="L202" s="1466"/>
      <c r="M202" s="1467">
        <v>0</v>
      </c>
      <c r="N202" s="1468">
        <v>1.0694850214874425</v>
      </c>
      <c r="O202" s="1468">
        <v>1.0694850214874425</v>
      </c>
    </row>
    <row r="203" spans="2:15">
      <c r="B203" s="1384">
        <v>38596</v>
      </c>
      <c r="C203" s="1385">
        <v>331.69</v>
      </c>
      <c r="D203" s="1385">
        <v>2493.79</v>
      </c>
      <c r="E203" s="1385">
        <v>1.0150313602253485</v>
      </c>
      <c r="F203" s="1385">
        <v>13.880593318661054</v>
      </c>
      <c r="K203" s="1465">
        <v>42260</v>
      </c>
      <c r="L203" s="1466"/>
      <c r="M203" s="1467">
        <v>0</v>
      </c>
      <c r="N203" s="1468">
        <v>1.0694850214874425</v>
      </c>
      <c r="O203" s="1468">
        <v>1.0694850214874425</v>
      </c>
    </row>
    <row r="204" spans="2:15">
      <c r="B204" s="1384">
        <v>38626</v>
      </c>
      <c r="C204" s="1385">
        <v>333.69400000000002</v>
      </c>
      <c r="D204" s="1385">
        <v>2512.4899999999998</v>
      </c>
      <c r="E204" s="1385">
        <v>1.0140716431638075</v>
      </c>
      <c r="F204" s="1385">
        <v>14.075916074743184</v>
      </c>
      <c r="K204" s="1465">
        <v>42261</v>
      </c>
      <c r="L204" s="1466" t="s">
        <v>2127</v>
      </c>
      <c r="M204" s="1467">
        <v>5.2531000000000001E-2</v>
      </c>
      <c r="N204" s="1468">
        <v>1.0700468326640802</v>
      </c>
      <c r="O204" s="1468">
        <v>1.0700468326640802</v>
      </c>
    </row>
    <row r="205" spans="2:15">
      <c r="B205" s="1384">
        <v>38657</v>
      </c>
      <c r="C205" s="1385">
        <v>335.03300000000002</v>
      </c>
      <c r="D205" s="1385">
        <v>2526.31</v>
      </c>
      <c r="E205" s="1385">
        <v>1.0138104099310956</v>
      </c>
      <c r="F205" s="1385">
        <v>14.270310245891086</v>
      </c>
      <c r="K205" s="1465">
        <v>42262</v>
      </c>
      <c r="L205" s="1466" t="s">
        <v>2127</v>
      </c>
      <c r="M205" s="1467">
        <v>5.2531000000000001E-2</v>
      </c>
      <c r="N205" s="1468">
        <v>1.0706089389657469</v>
      </c>
      <c r="O205" s="1468">
        <v>1.0706089389657469</v>
      </c>
    </row>
    <row r="206" spans="2:15">
      <c r="B206" s="1384">
        <v>38687</v>
      </c>
      <c r="C206" s="1385">
        <v>335.00599999999997</v>
      </c>
      <c r="D206" s="1385">
        <v>2535.4</v>
      </c>
      <c r="E206" s="1385">
        <v>1.0147357208231795</v>
      </c>
      <c r="F206" s="1385">
        <v>14.480593553734694</v>
      </c>
      <c r="K206" s="1465">
        <v>42263</v>
      </c>
      <c r="L206" s="1466" t="s">
        <v>2127</v>
      </c>
      <c r="M206" s="1467">
        <v>5.2531000000000001E-2</v>
      </c>
      <c r="N206" s="1468">
        <v>1.071171340547475</v>
      </c>
      <c r="O206" s="1468">
        <v>1.071171340547475</v>
      </c>
    </row>
    <row r="207" spans="2:15">
      <c r="B207" s="1384">
        <v>38718</v>
      </c>
      <c r="C207" s="1385">
        <v>338.08300000000003</v>
      </c>
      <c r="D207" s="1385">
        <v>2550.36</v>
      </c>
      <c r="E207" s="1385">
        <v>1.0142931741687891</v>
      </c>
      <c r="F207" s="1385">
        <v>14.687567199465668</v>
      </c>
      <c r="K207" s="1465">
        <v>42264</v>
      </c>
      <c r="L207" s="1466" t="s">
        <v>2127</v>
      </c>
      <c r="M207" s="1467">
        <v>5.2531000000000001E-2</v>
      </c>
      <c r="N207" s="1468">
        <v>1.071734037564378</v>
      </c>
      <c r="O207" s="1468">
        <v>1.071734037564378</v>
      </c>
    </row>
    <row r="208" spans="2:15">
      <c r="B208" s="1384">
        <v>38749</v>
      </c>
      <c r="C208" s="1385">
        <v>338.12799999999999</v>
      </c>
      <c r="D208" s="1385">
        <v>2560.8200000000002</v>
      </c>
      <c r="E208" s="1385">
        <v>1.0114506306443078</v>
      </c>
      <c r="F208" s="1385">
        <v>14.855749106530201</v>
      </c>
      <c r="K208" s="1465">
        <v>42265</v>
      </c>
      <c r="L208" s="1466" t="s">
        <v>2127</v>
      </c>
      <c r="M208" s="1467">
        <v>5.2531000000000001E-2</v>
      </c>
      <c r="N208" s="1468">
        <v>1.072297030171651</v>
      </c>
      <c r="O208" s="1468">
        <v>1.072297030171651</v>
      </c>
    </row>
    <row r="209" spans="2:15">
      <c r="B209" s="1384">
        <v>38777</v>
      </c>
      <c r="C209" s="1385">
        <v>337.339</v>
      </c>
      <c r="D209" s="1385">
        <v>2571.83</v>
      </c>
      <c r="E209" s="1385">
        <v>1.0142230199009199</v>
      </c>
      <c r="F209" s="1385">
        <v>15.067042721715453</v>
      </c>
      <c r="K209" s="1465">
        <v>42266</v>
      </c>
      <c r="L209" s="1466"/>
      <c r="M209" s="1467">
        <v>0</v>
      </c>
      <c r="N209" s="1468">
        <v>1.072297030171651</v>
      </c>
      <c r="O209" s="1468">
        <v>1.072297030171651</v>
      </c>
    </row>
    <row r="210" spans="2:15">
      <c r="B210" s="1384">
        <v>38808</v>
      </c>
      <c r="C210" s="1385">
        <v>335.92099999999999</v>
      </c>
      <c r="D210" s="1385">
        <v>2577.23</v>
      </c>
      <c r="E210" s="1385">
        <v>1.0107787821533378</v>
      </c>
      <c r="F210" s="1385">
        <v>15.229447092907858</v>
      </c>
      <c r="K210" s="1465">
        <v>42267</v>
      </c>
      <c r="L210" s="1466"/>
      <c r="M210" s="1467">
        <v>0</v>
      </c>
      <c r="N210" s="1468">
        <v>1.072297030171651</v>
      </c>
      <c r="O210" s="1468">
        <v>1.072297030171651</v>
      </c>
    </row>
    <row r="211" spans="2:15">
      <c r="B211" s="1384">
        <v>38838</v>
      </c>
      <c r="C211" s="1385">
        <v>337.185</v>
      </c>
      <c r="D211" s="1385">
        <v>2579.81</v>
      </c>
      <c r="E211" s="1385">
        <v>1.0128136552027243</v>
      </c>
      <c r="F211" s="1385">
        <v>15.424591976884511</v>
      </c>
      <c r="K211" s="1465">
        <v>42268</v>
      </c>
      <c r="L211" s="1466" t="s">
        <v>2127</v>
      </c>
      <c r="M211" s="1467">
        <v>5.2531000000000001E-2</v>
      </c>
      <c r="N211" s="1468">
        <v>1.0728603185245704</v>
      </c>
      <c r="O211" s="1468">
        <v>1.0728603185245704</v>
      </c>
    </row>
    <row r="212" spans="2:15">
      <c r="B212" s="1384">
        <v>38869</v>
      </c>
      <c r="C212" s="1385">
        <v>339.71199999999999</v>
      </c>
      <c r="D212" s="1385">
        <v>2574.39</v>
      </c>
      <c r="E212" s="1385">
        <v>1.0118439390435949</v>
      </c>
      <c r="F212" s="1385">
        <v>15.607279904031055</v>
      </c>
      <c r="K212" s="1465">
        <v>42269</v>
      </c>
      <c r="L212" s="1466" t="s">
        <v>2127</v>
      </c>
      <c r="M212" s="1467">
        <v>5.2531000000000001E-2</v>
      </c>
      <c r="N212" s="1468">
        <v>1.0734239027784946</v>
      </c>
      <c r="O212" s="1468">
        <v>1.0734239027784946</v>
      </c>
    </row>
    <row r="213" spans="2:15">
      <c r="B213" s="1384">
        <v>38899</v>
      </c>
      <c r="C213" s="1385">
        <v>340.31200000000001</v>
      </c>
      <c r="D213" s="1385">
        <v>2579.2800000000002</v>
      </c>
      <c r="E213" s="1385">
        <v>1.0116996590630269</v>
      </c>
      <c r="F213" s="1385">
        <v>15.78987975780945</v>
      </c>
      <c r="K213" s="1465">
        <v>42270</v>
      </c>
      <c r="L213" s="1466" t="s">
        <v>2127</v>
      </c>
      <c r="M213" s="1467">
        <v>5.2531000000000001E-2</v>
      </c>
      <c r="N213" s="1468">
        <v>1.0739877830888631</v>
      </c>
      <c r="O213" s="1468">
        <v>1.0739877830888631</v>
      </c>
    </row>
    <row r="214" spans="2:15">
      <c r="B214" s="1384">
        <v>38930</v>
      </c>
      <c r="C214" s="1385">
        <v>341.57400000000001</v>
      </c>
      <c r="D214" s="1385">
        <v>2580.5700000000002</v>
      </c>
      <c r="E214" s="1385">
        <v>1.012562646303421</v>
      </c>
      <c r="F214" s="1385">
        <v>15.988242432380357</v>
      </c>
      <c r="K214" s="1465">
        <v>42271</v>
      </c>
      <c r="L214" s="1466" t="s">
        <v>2127</v>
      </c>
      <c r="M214" s="1467">
        <v>5.2531000000000001E-2</v>
      </c>
      <c r="N214" s="1468">
        <v>1.0745519596111974</v>
      </c>
      <c r="O214" s="1468">
        <v>1.0745519596111974</v>
      </c>
    </row>
    <row r="215" spans="2:15" ht="13.5" customHeight="1">
      <c r="B215" s="1384">
        <v>38961</v>
      </c>
      <c r="C215" s="1385">
        <v>342.56099999999998</v>
      </c>
      <c r="D215" s="1385">
        <v>2585.9899999999998</v>
      </c>
      <c r="E215" s="1385">
        <v>1.0105730983323107</v>
      </c>
      <c r="F215" s="1385">
        <v>16.157287691778738</v>
      </c>
      <c r="K215" s="1465">
        <v>42272</v>
      </c>
      <c r="L215" s="1466" t="s">
        <v>2127</v>
      </c>
      <c r="M215" s="1467">
        <v>5.2531000000000001E-2</v>
      </c>
      <c r="N215" s="1468">
        <v>1.0751164325011009</v>
      </c>
      <c r="O215" s="1468">
        <v>1.0751164325011009</v>
      </c>
    </row>
    <row r="216" spans="2:15">
      <c r="B216" s="1384">
        <v>38991</v>
      </c>
      <c r="C216" s="1385">
        <v>344.15499999999997</v>
      </c>
      <c r="D216" s="1385">
        <v>2594.52</v>
      </c>
      <c r="E216" s="1385">
        <v>1.0109424441222723</v>
      </c>
      <c r="F216" s="1385">
        <v>16.334087909513503</v>
      </c>
      <c r="K216" s="1465">
        <v>42273</v>
      </c>
      <c r="L216" s="1466"/>
      <c r="M216" s="1467">
        <v>0</v>
      </c>
      <c r="N216" s="1468">
        <v>1.0751164325011009</v>
      </c>
      <c r="O216" s="1468">
        <v>1.0751164325011009</v>
      </c>
    </row>
    <row r="217" spans="2:15">
      <c r="B217" s="1384">
        <v>39022</v>
      </c>
      <c r="C217" s="1385">
        <v>346.74599999999998</v>
      </c>
      <c r="D217" s="1385">
        <v>2602.56</v>
      </c>
      <c r="E217" s="1385">
        <v>1.0102060517349183</v>
      </c>
      <c r="F217" s="1385">
        <v>16.500794455760701</v>
      </c>
      <c r="K217" s="1465">
        <v>42274</v>
      </c>
      <c r="L217" s="1466"/>
      <c r="M217" s="1467">
        <v>0</v>
      </c>
      <c r="N217" s="1468">
        <v>1.0751164325011009</v>
      </c>
      <c r="O217" s="1468">
        <v>1.0751164325011009</v>
      </c>
    </row>
    <row r="218" spans="2:15">
      <c r="B218" s="1384">
        <v>39052</v>
      </c>
      <c r="C218" s="1385">
        <v>347.84199999999998</v>
      </c>
      <c r="D218" s="1385">
        <v>2615.0500000000002</v>
      </c>
      <c r="E218" s="1385">
        <v>1.0098788606332807</v>
      </c>
      <c r="F218" s="1385">
        <v>16.663803504527571</v>
      </c>
      <c r="K218" s="1465">
        <v>42275</v>
      </c>
      <c r="L218" s="1466" t="s">
        <v>2127</v>
      </c>
      <c r="M218" s="1467">
        <v>5.2531000000000001E-2</v>
      </c>
      <c r="N218" s="1468">
        <v>1.0756812019142581</v>
      </c>
      <c r="O218" s="1468">
        <v>1.0756812019142581</v>
      </c>
    </row>
    <row r="219" spans="2:15">
      <c r="B219" s="1384">
        <v>39083</v>
      </c>
      <c r="C219" s="1385">
        <v>349.59300000000002</v>
      </c>
      <c r="D219" s="1385">
        <v>2626.56</v>
      </c>
      <c r="E219" s="1385">
        <v>1.0108280266006449</v>
      </c>
      <c r="F219" s="1385">
        <v>16.844239612142516</v>
      </c>
      <c r="K219" s="1465">
        <v>42276</v>
      </c>
      <c r="L219" s="1466" t="s">
        <v>2127</v>
      </c>
      <c r="M219" s="1467">
        <v>5.2531000000000001E-2</v>
      </c>
      <c r="N219" s="1468">
        <v>1.0762462680064357</v>
      </c>
      <c r="O219" s="1468">
        <v>1.0762462680064357</v>
      </c>
    </row>
    <row r="220" spans="2:15">
      <c r="B220" s="1384">
        <v>39114</v>
      </c>
      <c r="C220" s="1385">
        <v>350.524</v>
      </c>
      <c r="D220" s="1385">
        <v>2638.12</v>
      </c>
      <c r="E220" s="1385">
        <v>1.008724844950982</v>
      </c>
      <c r="F220" s="1385">
        <v>16.991202991075649</v>
      </c>
      <c r="K220" s="1465">
        <v>42277</v>
      </c>
      <c r="L220" s="1466" t="s">
        <v>2127</v>
      </c>
      <c r="M220" s="1467">
        <v>5.2531000000000001E-2</v>
      </c>
      <c r="N220" s="1468">
        <v>1.0768116309334823</v>
      </c>
      <c r="O220" s="1468">
        <v>1.0768116309334823</v>
      </c>
    </row>
    <row r="221" spans="2:15">
      <c r="B221" s="1384">
        <v>39142</v>
      </c>
      <c r="C221" s="1385">
        <v>351.71699999999998</v>
      </c>
      <c r="D221" s="1385">
        <v>2647.88</v>
      </c>
      <c r="E221" s="1385">
        <v>1.0105222327764332</v>
      </c>
      <c r="F221" s="1385">
        <v>17.169988384099376</v>
      </c>
      <c r="K221" s="1465">
        <v>42278</v>
      </c>
      <c r="L221" s="1466" t="s">
        <v>2127</v>
      </c>
      <c r="M221" s="1467">
        <v>5.2531000000000001E-2</v>
      </c>
      <c r="N221" s="1468">
        <v>1.0773772908513279</v>
      </c>
      <c r="O221" s="1468">
        <v>1.0773772908513279</v>
      </c>
    </row>
    <row r="222" spans="2:15">
      <c r="B222" s="1384">
        <v>39173</v>
      </c>
      <c r="C222" s="1385">
        <v>351.86900000000003</v>
      </c>
      <c r="D222" s="1385">
        <v>2654.5</v>
      </c>
      <c r="E222" s="1385">
        <v>1.0094482340398951</v>
      </c>
      <c r="F222" s="1385">
        <v>17.332214452814629</v>
      </c>
      <c r="K222" s="1465">
        <v>42279</v>
      </c>
      <c r="L222" s="1466" t="s">
        <v>2127</v>
      </c>
      <c r="M222" s="1467">
        <v>5.2531000000000001E-2</v>
      </c>
      <c r="N222" s="1468">
        <v>1.0779432479159849</v>
      </c>
      <c r="O222" s="1468">
        <v>1.0779432479159849</v>
      </c>
    </row>
    <row r="223" spans="2:15">
      <c r="B223" s="1384">
        <v>39203</v>
      </c>
      <c r="C223" s="1385">
        <v>352.02</v>
      </c>
      <c r="D223" s="1385">
        <v>2661.93</v>
      </c>
      <c r="E223" s="1385">
        <v>1.0102807696314628</v>
      </c>
      <c r="F223" s="1385">
        <v>17.510402956807127</v>
      </c>
      <c r="K223" s="1465">
        <v>42280</v>
      </c>
      <c r="L223" s="1466"/>
      <c r="M223" s="1467">
        <v>0</v>
      </c>
      <c r="N223" s="1468">
        <v>1.0779432479159849</v>
      </c>
      <c r="O223" s="1468">
        <v>1.0779432479159849</v>
      </c>
    </row>
    <row r="224" spans="2:15">
      <c r="B224" s="1384">
        <v>39234</v>
      </c>
      <c r="C224" s="1385">
        <v>352.93599999999998</v>
      </c>
      <c r="D224" s="1385">
        <v>2669.38</v>
      </c>
      <c r="E224" s="1385">
        <v>1.0090562894719608</v>
      </c>
      <c r="F224" s="1385">
        <v>17.668982234754651</v>
      </c>
      <c r="K224" s="1465">
        <v>42281</v>
      </c>
      <c r="L224" s="1466"/>
      <c r="M224" s="1467">
        <v>0</v>
      </c>
      <c r="N224" s="1468">
        <v>1.0779432479159849</v>
      </c>
      <c r="O224" s="1468">
        <v>1.0779432479159849</v>
      </c>
    </row>
    <row r="225" spans="2:15">
      <c r="B225" s="1384">
        <v>39264</v>
      </c>
      <c r="C225" s="1385">
        <v>353.92</v>
      </c>
      <c r="D225" s="1385">
        <v>2675.79</v>
      </c>
      <c r="E225" s="1385">
        <v>1.0097263257608722</v>
      </c>
      <c r="F225" s="1385">
        <v>17.840836511832936</v>
      </c>
      <c r="K225" s="1465">
        <v>42282</v>
      </c>
      <c r="L225" s="1466" t="s">
        <v>2127</v>
      </c>
      <c r="M225" s="1467">
        <v>5.2531000000000001E-2</v>
      </c>
      <c r="N225" s="1468">
        <v>1.0785095022835478</v>
      </c>
      <c r="O225" s="1468">
        <v>1.0785095022835478</v>
      </c>
    </row>
    <row r="226" spans="2:15">
      <c r="B226" s="1384">
        <v>39295</v>
      </c>
      <c r="C226" s="1385">
        <v>357.404</v>
      </c>
      <c r="D226" s="1385">
        <v>2688.37</v>
      </c>
      <c r="E226" s="1385">
        <v>1.0099263513682912</v>
      </c>
      <c r="F226" s="1385">
        <v>18.017930923753628</v>
      </c>
      <c r="K226" s="1465">
        <v>42283</v>
      </c>
      <c r="L226" s="1466" t="s">
        <v>2127</v>
      </c>
      <c r="M226" s="1467">
        <v>5.2531000000000001E-2</v>
      </c>
      <c r="N226" s="1468">
        <v>1.0790760541101925</v>
      </c>
      <c r="O226" s="1468">
        <v>1.0790760541101925</v>
      </c>
    </row>
    <row r="227" spans="2:15">
      <c r="B227" s="1384">
        <v>39326</v>
      </c>
      <c r="C227" s="1385">
        <v>361.99700000000001</v>
      </c>
      <c r="D227" s="1385">
        <v>2693.21</v>
      </c>
      <c r="E227" s="1385">
        <v>1.0080496134415582</v>
      </c>
      <c r="F227" s="1385">
        <v>18.162968302706542</v>
      </c>
      <c r="K227" s="1465">
        <v>42284</v>
      </c>
      <c r="L227" s="1466" t="s">
        <v>2127</v>
      </c>
      <c r="M227" s="1467">
        <v>5.2531000000000001E-2</v>
      </c>
      <c r="N227" s="1468">
        <v>1.0796429035521771</v>
      </c>
      <c r="O227" s="1468">
        <v>1.0796429035521771</v>
      </c>
    </row>
    <row r="228" spans="2:15">
      <c r="B228" s="1384">
        <v>39356</v>
      </c>
      <c r="C228" s="1385">
        <v>365.79399999999998</v>
      </c>
      <c r="D228" s="1385">
        <v>2701.29</v>
      </c>
      <c r="E228" s="1385">
        <v>1.0092949262855189</v>
      </c>
      <c r="F228" s="1385">
        <v>18.331791754206414</v>
      </c>
      <c r="K228" s="1465">
        <v>42285</v>
      </c>
      <c r="L228" s="1466" t="s">
        <v>2127</v>
      </c>
      <c r="M228" s="1467">
        <v>5.2531000000000001E-2</v>
      </c>
      <c r="N228" s="1468">
        <v>1.0802100507658421</v>
      </c>
      <c r="O228" s="1468">
        <v>1.0802100507658421</v>
      </c>
    </row>
    <row r="229" spans="2:15">
      <c r="B229" s="1384">
        <v>39387</v>
      </c>
      <c r="C229" s="1385">
        <v>368.334</v>
      </c>
      <c r="D229" s="1385">
        <v>2711.55</v>
      </c>
      <c r="E229" s="1385">
        <v>1.0084467048252397</v>
      </c>
      <c r="F229" s="1385">
        <v>18.486634988071959</v>
      </c>
      <c r="K229" s="1465">
        <v>42286</v>
      </c>
      <c r="L229" s="1466" t="s">
        <v>2127</v>
      </c>
      <c r="M229" s="1467">
        <v>5.2531000000000001E-2</v>
      </c>
      <c r="N229" s="1468">
        <v>1.08077749590761</v>
      </c>
      <c r="O229" s="1468">
        <v>1.08077749590761</v>
      </c>
    </row>
    <row r="230" spans="2:15">
      <c r="B230" s="1384">
        <v>39417</v>
      </c>
      <c r="C230" s="1385">
        <v>374.815</v>
      </c>
      <c r="D230" s="1385">
        <v>2731.62</v>
      </c>
      <c r="E230" s="1385">
        <v>1.0084467048252395</v>
      </c>
      <c r="F230" s="1385">
        <v>18.642786137028146</v>
      </c>
      <c r="K230" s="1465">
        <v>42287</v>
      </c>
      <c r="L230" s="1466"/>
      <c r="M230" s="1467">
        <v>0</v>
      </c>
      <c r="N230" s="1468">
        <v>1.08077749590761</v>
      </c>
      <c r="O230" s="1468">
        <v>1.08077749590761</v>
      </c>
    </row>
    <row r="231" spans="2:15">
      <c r="B231" s="1384">
        <v>39448</v>
      </c>
      <c r="C231" s="1385">
        <v>378.9</v>
      </c>
      <c r="D231" s="1385">
        <v>2746.37</v>
      </c>
      <c r="E231" s="1385">
        <v>1.0092938367057227</v>
      </c>
      <c r="F231" s="1385">
        <v>18.816049147125398</v>
      </c>
      <c r="K231" s="1465">
        <v>42288</v>
      </c>
      <c r="L231" s="1466"/>
      <c r="M231" s="1467">
        <v>0</v>
      </c>
      <c r="N231" s="1468">
        <v>1.08077749590761</v>
      </c>
      <c r="O231" s="1468">
        <v>1.08077749590761</v>
      </c>
    </row>
    <row r="232" spans="2:15">
      <c r="B232" s="1384">
        <v>39479</v>
      </c>
      <c r="C232" s="1385">
        <v>380.90600000000001</v>
      </c>
      <c r="D232" s="1385">
        <v>2759.83</v>
      </c>
      <c r="E232" s="1385">
        <v>1.0080223173492819</v>
      </c>
      <c r="F232" s="1385">
        <v>18.966997464643324</v>
      </c>
      <c r="K232" s="1465">
        <v>42289</v>
      </c>
      <c r="L232" s="1466"/>
      <c r="M232" s="1467">
        <v>0</v>
      </c>
      <c r="N232" s="1468">
        <v>1.08077749590761</v>
      </c>
      <c r="O232" s="1468">
        <v>1.08077749590761</v>
      </c>
    </row>
    <row r="233" spans="2:15">
      <c r="B233" s="1384">
        <v>39508</v>
      </c>
      <c r="C233" s="1385">
        <v>383.73099999999999</v>
      </c>
      <c r="D233" s="1385">
        <v>2773.08</v>
      </c>
      <c r="E233" s="1385">
        <v>1.0084459790490408</v>
      </c>
      <c r="F233" s="1385">
        <v>19.12719232785291</v>
      </c>
      <c r="K233" s="1465">
        <v>42290</v>
      </c>
      <c r="L233" s="1466" t="s">
        <v>2127</v>
      </c>
      <c r="M233" s="1467">
        <v>5.2531000000000001E-2</v>
      </c>
      <c r="N233" s="1468">
        <v>1.0813452391339853</v>
      </c>
      <c r="O233" s="1468">
        <v>1.0813452391339853</v>
      </c>
    </row>
    <row r="234" spans="2:15">
      <c r="B234" s="1384">
        <v>39539</v>
      </c>
      <c r="C234" s="1385">
        <v>386.38</v>
      </c>
      <c r="D234" s="1385">
        <v>2788.33</v>
      </c>
      <c r="E234" s="1385">
        <v>1.0090142575644072</v>
      </c>
      <c r="F234" s="1385">
        <v>19.299609765980129</v>
      </c>
      <c r="K234" s="1465">
        <v>42291</v>
      </c>
      <c r="L234" s="1466" t="s">
        <v>2127</v>
      </c>
      <c r="M234" s="1467">
        <v>5.2531000000000001E-2</v>
      </c>
      <c r="N234" s="1468">
        <v>1.0819132806015548</v>
      </c>
      <c r="O234" s="1468">
        <v>1.0819132806015548</v>
      </c>
    </row>
    <row r="235" spans="2:15">
      <c r="B235" s="1384">
        <v>39569</v>
      </c>
      <c r="C235" s="1385">
        <v>392.59199999999998</v>
      </c>
      <c r="D235" s="1385">
        <v>2810.36</v>
      </c>
      <c r="E235" s="1385">
        <v>1.0087678287685495</v>
      </c>
      <c r="F235" s="1385">
        <v>19.46882543970807</v>
      </c>
      <c r="K235" s="1465">
        <v>42292</v>
      </c>
      <c r="L235" s="1466" t="s">
        <v>2127</v>
      </c>
      <c r="M235" s="1467">
        <v>5.2531000000000001E-2</v>
      </c>
      <c r="N235" s="1468">
        <v>1.0824816204669876</v>
      </c>
      <c r="O235" s="1468">
        <v>1.0824816204669876</v>
      </c>
    </row>
    <row r="236" spans="2:15">
      <c r="B236" s="1384">
        <v>39600</v>
      </c>
      <c r="C236" s="1385">
        <v>400.38200000000001</v>
      </c>
      <c r="D236" s="1385">
        <v>2831.16</v>
      </c>
      <c r="E236" s="1385">
        <v>1.0095559246898425</v>
      </c>
      <c r="F236" s="1385">
        <v>19.654868069409609</v>
      </c>
      <c r="K236" s="1465">
        <v>42293</v>
      </c>
      <c r="L236" s="1466" t="s">
        <v>2127</v>
      </c>
      <c r="M236" s="1467">
        <v>5.2531000000000001E-2</v>
      </c>
      <c r="N236" s="1468">
        <v>1.0830502588870352</v>
      </c>
      <c r="O236" s="1468">
        <v>1.0830502588870352</v>
      </c>
    </row>
    <row r="237" spans="2:15">
      <c r="B237" s="1384">
        <v>39630</v>
      </c>
      <c r="C237" s="1385">
        <v>407.44600000000003</v>
      </c>
      <c r="D237" s="1385">
        <v>2846.16</v>
      </c>
      <c r="E237" s="1385">
        <v>1.0106967121371</v>
      </c>
      <c r="F237" s="1385">
        <v>19.865110535240763</v>
      </c>
      <c r="K237" s="1465">
        <v>42294</v>
      </c>
      <c r="L237" s="1466"/>
      <c r="M237" s="1467">
        <v>0</v>
      </c>
      <c r="N237" s="1468">
        <v>1.0830502588870352</v>
      </c>
      <c r="O237" s="1468">
        <v>1.0830502588870352</v>
      </c>
    </row>
    <row r="238" spans="2:15">
      <c r="B238" s="1384">
        <v>39661</v>
      </c>
      <c r="C238" s="1385">
        <v>406.12700000000001</v>
      </c>
      <c r="D238" s="1385">
        <v>2854.13</v>
      </c>
      <c r="E238" s="1385">
        <v>1.0101765713502602</v>
      </c>
      <c r="F238" s="1385">
        <v>20.067269249983447</v>
      </c>
      <c r="K238" s="1465">
        <v>42295</v>
      </c>
      <c r="L238" s="1466"/>
      <c r="M238" s="1467">
        <v>0</v>
      </c>
      <c r="N238" s="1468">
        <v>1.0830502588870352</v>
      </c>
      <c r="O238" s="1468">
        <v>1.0830502588870352</v>
      </c>
    </row>
    <row r="239" spans="2:15">
      <c r="B239" s="1384">
        <v>39692</v>
      </c>
      <c r="C239" s="1385">
        <v>406.55700000000002</v>
      </c>
      <c r="D239" s="1385">
        <v>2861.55</v>
      </c>
      <c r="E239" s="1385">
        <v>1.011030909274969</v>
      </c>
      <c r="F239" s="1385">
        <v>20.288629476476387</v>
      </c>
      <c r="K239" s="1465">
        <v>42296</v>
      </c>
      <c r="L239" s="1466" t="s">
        <v>2127</v>
      </c>
      <c r="M239" s="1467">
        <v>5.2531000000000001E-2</v>
      </c>
      <c r="N239" s="1468">
        <v>1.0836191960185311</v>
      </c>
      <c r="O239" s="1468">
        <v>1.0836191960185311</v>
      </c>
    </row>
    <row r="240" spans="2:15">
      <c r="B240" s="1384">
        <v>39722</v>
      </c>
      <c r="C240" s="1385">
        <v>410.524</v>
      </c>
      <c r="D240" s="1385">
        <v>2874.43</v>
      </c>
      <c r="E240" s="1385">
        <v>1.0117587656900342</v>
      </c>
      <c r="F240" s="1385">
        <v>20.527198716662195</v>
      </c>
      <c r="K240" s="1465">
        <v>42297</v>
      </c>
      <c r="L240" s="1466" t="s">
        <v>2127</v>
      </c>
      <c r="M240" s="1467">
        <v>5.2531000000000001E-2</v>
      </c>
      <c r="N240" s="1468">
        <v>1.0841884320183917</v>
      </c>
      <c r="O240" s="1468">
        <v>1.0841884320183917</v>
      </c>
    </row>
    <row r="241" spans="2:15">
      <c r="B241" s="1384">
        <v>39753</v>
      </c>
      <c r="C241" s="1385">
        <v>412.10399999999998</v>
      </c>
      <c r="D241" s="1385">
        <v>2884.78</v>
      </c>
      <c r="E241" s="1385">
        <v>1.0101996908301405</v>
      </c>
      <c r="F241" s="1385">
        <v>20.736569797181005</v>
      </c>
      <c r="K241" s="1465">
        <v>42298</v>
      </c>
      <c r="L241" s="1466" t="s">
        <v>2127</v>
      </c>
      <c r="M241" s="1467">
        <v>5.2531000000000001E-2</v>
      </c>
      <c r="N241" s="1468">
        <v>1.0847579670436152</v>
      </c>
      <c r="O241" s="1468">
        <v>1.0847579670436152</v>
      </c>
    </row>
    <row r="242" spans="2:15">
      <c r="B242" s="1384">
        <v>39783</v>
      </c>
      <c r="C242" s="1385">
        <v>411.57499999999999</v>
      </c>
      <c r="D242" s="1385">
        <v>2892.86</v>
      </c>
      <c r="E242" s="1385">
        <v>1.0112409294280835</v>
      </c>
      <c r="F242" s="1385">
        <v>20.969668114851643</v>
      </c>
      <c r="K242" s="1465">
        <v>42299</v>
      </c>
      <c r="L242" s="1466" t="s">
        <v>2127</v>
      </c>
      <c r="M242" s="1467">
        <v>5.2531000000000001E-2</v>
      </c>
      <c r="N242" s="1468">
        <v>1.0853278012512828</v>
      </c>
      <c r="O242" s="1468">
        <v>1.0853278012512828</v>
      </c>
    </row>
    <row r="243" spans="2:15">
      <c r="B243" s="1384">
        <v>39814</v>
      </c>
      <c r="C243" s="1385">
        <v>409.78199999999998</v>
      </c>
      <c r="D243" s="1385">
        <v>2906.74</v>
      </c>
      <c r="E243" s="1385">
        <v>1.0104780743150839</v>
      </c>
      <c r="F243" s="1385">
        <v>21.189389855721704</v>
      </c>
      <c r="K243" s="1465">
        <v>42300</v>
      </c>
      <c r="L243" s="1466" t="s">
        <v>2127</v>
      </c>
      <c r="M243" s="1467">
        <v>5.2531000000000001E-2</v>
      </c>
      <c r="N243" s="1468">
        <v>1.0858979347985582</v>
      </c>
      <c r="O243" s="1468">
        <v>1.0858979347985582</v>
      </c>
    </row>
    <row r="244" spans="2:15">
      <c r="B244" s="1384">
        <v>39845</v>
      </c>
      <c r="C244" s="1385">
        <v>410.84899999999999</v>
      </c>
      <c r="D244" s="1385">
        <v>2922.73</v>
      </c>
      <c r="E244" s="1385">
        <v>1.0085508573858042</v>
      </c>
      <c r="F244" s="1385">
        <v>21.370577306470185</v>
      </c>
      <c r="K244" s="1465">
        <v>42301</v>
      </c>
      <c r="L244" s="1466"/>
      <c r="M244" s="1467">
        <v>0</v>
      </c>
      <c r="N244" s="1468">
        <v>1.0858979347985582</v>
      </c>
      <c r="O244" s="1468">
        <v>1.0858979347985582</v>
      </c>
    </row>
    <row r="245" spans="2:15">
      <c r="B245" s="1384">
        <v>39873</v>
      </c>
      <c r="C245" s="1385">
        <v>407.80799999999999</v>
      </c>
      <c r="D245" s="1385">
        <v>2928.57</v>
      </c>
      <c r="E245" s="1385">
        <v>1.0097088387156097</v>
      </c>
      <c r="F245" s="1385">
        <v>21.578060794798173</v>
      </c>
      <c r="K245" s="1465">
        <v>42302</v>
      </c>
      <c r="L245" s="1466"/>
      <c r="M245" s="1467">
        <v>0</v>
      </c>
      <c r="N245" s="1468">
        <v>1.0858979347985582</v>
      </c>
      <c r="O245" s="1468">
        <v>1.0858979347985582</v>
      </c>
    </row>
    <row r="246" spans="2:15">
      <c r="B246" s="1384">
        <v>39904</v>
      </c>
      <c r="C246" s="1385">
        <v>407.18099999999998</v>
      </c>
      <c r="D246" s="1385">
        <v>2942.63</v>
      </c>
      <c r="E246" s="1385">
        <v>1.008395669248594</v>
      </c>
      <c r="F246" s="1385">
        <v>21.759223056257351</v>
      </c>
      <c r="K246" s="1465">
        <v>42303</v>
      </c>
      <c r="L246" s="1466" t="s">
        <v>2127</v>
      </c>
      <c r="M246" s="1467">
        <v>5.2531000000000001E-2</v>
      </c>
      <c r="N246" s="1468">
        <v>1.0864683678426872</v>
      </c>
      <c r="O246" s="1468">
        <v>1.0864683678426872</v>
      </c>
    </row>
    <row r="247" spans="2:15">
      <c r="B247" s="1384">
        <v>39934</v>
      </c>
      <c r="C247" s="1385">
        <v>406.88499999999999</v>
      </c>
      <c r="D247" s="1385">
        <v>2956.46</v>
      </c>
      <c r="E247" s="1385">
        <v>1.0077089274459567</v>
      </c>
      <c r="F247" s="1385">
        <v>21.926963328078429</v>
      </c>
      <c r="K247" s="1465">
        <v>42304</v>
      </c>
      <c r="L247" s="1466" t="s">
        <v>2127</v>
      </c>
      <c r="M247" s="1467">
        <v>5.2531000000000001E-2</v>
      </c>
      <c r="N247" s="1468">
        <v>1.0870391005409987</v>
      </c>
      <c r="O247" s="1468">
        <v>1.0870391005409987</v>
      </c>
    </row>
    <row r="248" spans="2:15">
      <c r="B248" s="1384">
        <v>39965</v>
      </c>
      <c r="C248" s="1385">
        <v>406.48599999999999</v>
      </c>
      <c r="D248" s="1385">
        <v>2967.1</v>
      </c>
      <c r="E248" s="1385">
        <v>1.0076218232644543</v>
      </c>
      <c r="F248" s="1385">
        <v>22.094086767291213</v>
      </c>
      <c r="K248" s="1465">
        <v>42305</v>
      </c>
      <c r="L248" s="1466" t="s">
        <v>2127</v>
      </c>
      <c r="M248" s="1467">
        <v>5.2531000000000001E-2</v>
      </c>
      <c r="N248" s="1468">
        <v>1.0876101330509038</v>
      </c>
      <c r="O248" s="1468">
        <v>1.0876101330509038</v>
      </c>
    </row>
    <row r="249" spans="2:15">
      <c r="B249" s="1384">
        <v>39995</v>
      </c>
      <c r="C249" s="1385">
        <v>404.71800000000002</v>
      </c>
      <c r="D249" s="1385">
        <v>2974.22</v>
      </c>
      <c r="E249" s="1385">
        <v>1.0079014252372847</v>
      </c>
      <c r="F249" s="1385">
        <v>22.268661542069044</v>
      </c>
      <c r="K249" s="1465">
        <v>42306</v>
      </c>
      <c r="L249" s="1466" t="s">
        <v>2127</v>
      </c>
      <c r="M249" s="1467">
        <v>5.2531000000000001E-2</v>
      </c>
      <c r="N249" s="1468">
        <v>1.0881814655298967</v>
      </c>
      <c r="O249" s="1468">
        <v>1.0881814655298967</v>
      </c>
    </row>
    <row r="250" spans="2:15">
      <c r="B250" s="1384">
        <v>40026</v>
      </c>
      <c r="C250" s="1385">
        <v>403.25299999999999</v>
      </c>
      <c r="D250" s="1385">
        <v>2978.68</v>
      </c>
      <c r="E250" s="1385">
        <v>1.0069374854840563</v>
      </c>
      <c r="F250" s="1385">
        <v>22.423150058266511</v>
      </c>
      <c r="K250" s="1465">
        <v>42307</v>
      </c>
      <c r="L250" s="1466" t="s">
        <v>2127</v>
      </c>
      <c r="M250" s="1467">
        <v>5.2531000000000001E-2</v>
      </c>
      <c r="N250" s="1468">
        <v>1.0887530981355542</v>
      </c>
      <c r="O250" s="1468">
        <v>1.0887530981355542</v>
      </c>
    </row>
    <row r="251" spans="2:15">
      <c r="B251" s="1384">
        <v>40057</v>
      </c>
      <c r="C251" s="1385">
        <v>404.94499999999999</v>
      </c>
      <c r="D251" s="1385">
        <v>2985.83</v>
      </c>
      <c r="E251" s="1385">
        <v>1.0069374854840563</v>
      </c>
      <c r="F251" s="1385">
        <v>22.578710336302549</v>
      </c>
      <c r="K251" s="1465">
        <v>42308</v>
      </c>
      <c r="L251" s="1466"/>
      <c r="M251" s="1467">
        <v>0</v>
      </c>
      <c r="N251" s="1468">
        <v>1.0887530981355542</v>
      </c>
      <c r="O251" s="1468">
        <v>1.0887530981355542</v>
      </c>
    </row>
    <row r="252" spans="2:15">
      <c r="B252" s="1384">
        <v>40087</v>
      </c>
      <c r="C252" s="1385">
        <v>405.12900000000002</v>
      </c>
      <c r="D252" s="1385">
        <v>2994.19</v>
      </c>
      <c r="E252" s="1385">
        <v>1.006937485484056</v>
      </c>
      <c r="F252" s="1385">
        <v>22.735349811509355</v>
      </c>
      <c r="K252" s="1465">
        <v>42309</v>
      </c>
      <c r="L252" s="1466"/>
      <c r="M252" s="1467">
        <v>0</v>
      </c>
      <c r="N252" s="1468">
        <v>1.0887530981355542</v>
      </c>
      <c r="O252" s="1468">
        <v>1.0887530981355542</v>
      </c>
    </row>
    <row r="253" spans="2:15">
      <c r="B253" s="1384">
        <v>40118</v>
      </c>
      <c r="C253" s="1385">
        <v>405.548</v>
      </c>
      <c r="D253" s="1385">
        <v>3006.47</v>
      </c>
      <c r="E253" s="1385">
        <v>1.006606040313162</v>
      </c>
      <c r="F253" s="1385">
        <v>22.885540448898027</v>
      </c>
      <c r="K253" s="1465">
        <v>42310</v>
      </c>
      <c r="L253" s="1466"/>
      <c r="M253" s="1467">
        <v>0</v>
      </c>
      <c r="N253" s="1468">
        <v>1.0887530981355542</v>
      </c>
      <c r="O253" s="1468">
        <v>1.0887530981355542</v>
      </c>
    </row>
    <row r="254" spans="2:15">
      <c r="B254" s="1384">
        <v>40148</v>
      </c>
      <c r="C254" s="1385">
        <v>404.49900000000002</v>
      </c>
      <c r="D254" s="1385">
        <v>3017.59</v>
      </c>
      <c r="E254" s="1385">
        <v>1.0072686672230315</v>
      </c>
      <c r="F254" s="1385">
        <v>23.051887826640293</v>
      </c>
      <c r="K254" s="1465">
        <v>42311</v>
      </c>
      <c r="L254" s="1466" t="s">
        <v>2127</v>
      </c>
      <c r="M254" s="1467">
        <v>5.2531000000000001E-2</v>
      </c>
      <c r="N254" s="1468">
        <v>1.0893250310255358</v>
      </c>
      <c r="O254" s="1468">
        <v>1.0893250310255358</v>
      </c>
    </row>
    <row r="255" spans="2:15">
      <c r="B255" s="1384">
        <v>40179</v>
      </c>
      <c r="C255" s="1385">
        <v>407.04899999999998</v>
      </c>
      <c r="D255" s="1385">
        <v>3040.22</v>
      </c>
      <c r="E255" s="1385">
        <v>1.0066056679915218</v>
      </c>
      <c r="F255" s="1385">
        <v>23.204160944200883</v>
      </c>
      <c r="K255" s="1465">
        <v>42312</v>
      </c>
      <c r="L255" s="1466" t="s">
        <v>2127</v>
      </c>
      <c r="M255" s="1467">
        <v>5.2531000000000001E-2</v>
      </c>
      <c r="N255" s="1468">
        <v>1.0898972643575837</v>
      </c>
      <c r="O255" s="1468">
        <v>1.0898972643575837</v>
      </c>
    </row>
    <row r="256" spans="2:15">
      <c r="B256" s="1384">
        <v>40210</v>
      </c>
      <c r="C256" s="1385">
        <v>411.84300000000002</v>
      </c>
      <c r="D256" s="1385">
        <v>3063.93</v>
      </c>
      <c r="E256" s="1385">
        <v>1.0059434772325486</v>
      </c>
      <c r="F256" s="1385">
        <v>23.342074346473133</v>
      </c>
      <c r="K256" s="1465">
        <v>42313</v>
      </c>
      <c r="L256" s="1466" t="s">
        <v>2127</v>
      </c>
      <c r="M256" s="1467">
        <v>5.2531000000000001E-2</v>
      </c>
      <c r="N256" s="1468">
        <v>1.0904697982895235</v>
      </c>
      <c r="O256" s="1468">
        <v>1.0904697982895235</v>
      </c>
    </row>
    <row r="257" spans="2:15">
      <c r="B257" s="1384">
        <v>40238</v>
      </c>
      <c r="C257" s="1385">
        <v>415.73399999999998</v>
      </c>
      <c r="D257" s="1385">
        <v>3079.86</v>
      </c>
      <c r="E257" s="1385">
        <v>1.0076007032666325</v>
      </c>
      <c r="F257" s="1385">
        <v>23.519490527208351</v>
      </c>
      <c r="K257" s="1465">
        <v>42314</v>
      </c>
      <c r="L257" s="1466" t="s">
        <v>2127</v>
      </c>
      <c r="M257" s="1467">
        <v>5.2531000000000001E-2</v>
      </c>
      <c r="N257" s="1468">
        <v>1.0910426329792631</v>
      </c>
      <c r="O257" s="1468">
        <v>1.0910426329792631</v>
      </c>
    </row>
    <row r="258" spans="2:15">
      <c r="B258" s="1384">
        <v>40269</v>
      </c>
      <c r="C258" s="1385">
        <v>418.91699999999997</v>
      </c>
      <c r="D258" s="1385">
        <v>3097.42</v>
      </c>
      <c r="E258" s="1385">
        <v>1.0066591320264642</v>
      </c>
      <c r="F258" s="1385">
        <v>23.676109919824206</v>
      </c>
      <c r="K258" s="1465">
        <v>42315</v>
      </c>
      <c r="L258" s="1466"/>
      <c r="M258" s="1467">
        <v>0</v>
      </c>
      <c r="N258" s="1468">
        <v>1.0910426329792631</v>
      </c>
      <c r="O258" s="1468">
        <v>1.0910426329792631</v>
      </c>
    </row>
    <row r="259" spans="2:15">
      <c r="B259" s="1384">
        <v>40299</v>
      </c>
      <c r="C259" s="1385">
        <v>423.88499999999999</v>
      </c>
      <c r="D259" s="1385">
        <v>3110.74</v>
      </c>
      <c r="E259" s="1385">
        <v>1.0075136425194853</v>
      </c>
      <c r="F259" s="1385">
        <v>23.854003746013806</v>
      </c>
      <c r="K259" s="1465">
        <v>42316</v>
      </c>
      <c r="L259" s="1466"/>
      <c r="M259" s="1467">
        <v>0</v>
      </c>
      <c r="N259" s="1468">
        <v>1.0910426329792631</v>
      </c>
      <c r="O259" s="1468">
        <v>1.0910426329792631</v>
      </c>
    </row>
    <row r="260" spans="2:15">
      <c r="B260" s="1384">
        <v>40330</v>
      </c>
      <c r="C260" s="1385">
        <v>427.48899999999998</v>
      </c>
      <c r="D260" s="1385">
        <v>3110.74</v>
      </c>
      <c r="E260" s="1385">
        <v>1.0079257581819461</v>
      </c>
      <c r="F260" s="1385">
        <v>24.043064811375949</v>
      </c>
      <c r="K260" s="1465">
        <v>42317</v>
      </c>
      <c r="L260" s="1466" t="s">
        <v>2127</v>
      </c>
      <c r="M260" s="1467">
        <v>5.2531000000000001E-2</v>
      </c>
      <c r="N260" s="1468">
        <v>1.0916157685847934</v>
      </c>
      <c r="O260" s="1468">
        <v>1.0916157685847934</v>
      </c>
    </row>
    <row r="261" spans="2:15">
      <c r="B261" s="1384">
        <v>40360</v>
      </c>
      <c r="C261" s="1385">
        <v>428.15</v>
      </c>
      <c r="D261" s="1385">
        <v>3111.05</v>
      </c>
      <c r="E261" s="1385">
        <v>1.0086102956499179</v>
      </c>
      <c r="F261" s="1385">
        <v>24.250082707732034</v>
      </c>
      <c r="K261" s="1465">
        <v>42318</v>
      </c>
      <c r="L261" s="1466" t="s">
        <v>2127</v>
      </c>
      <c r="M261" s="1467">
        <v>5.2531000000000001E-2</v>
      </c>
      <c r="N261" s="1468">
        <v>1.0921892052641886</v>
      </c>
      <c r="O261" s="1468">
        <v>1.0921892052641886</v>
      </c>
    </row>
    <row r="262" spans="2:15">
      <c r="B262" s="1384">
        <v>40391</v>
      </c>
      <c r="C262" s="1385">
        <v>431.44499999999999</v>
      </c>
      <c r="D262" s="1385">
        <v>3112.29</v>
      </c>
      <c r="E262" s="1385">
        <v>1.0088820963555043</v>
      </c>
      <c r="F262" s="1385">
        <v>24.465474278971058</v>
      </c>
      <c r="K262" s="1465">
        <v>42319</v>
      </c>
      <c r="L262" s="1466" t="s">
        <v>2127</v>
      </c>
      <c r="M262" s="1467">
        <v>5.2531000000000001E-2</v>
      </c>
      <c r="N262" s="1468">
        <v>1.0927629431756058</v>
      </c>
      <c r="O262" s="1468">
        <v>1.0927629431756058</v>
      </c>
    </row>
    <row r="263" spans="2:15">
      <c r="B263" s="1384">
        <v>40422</v>
      </c>
      <c r="C263" s="1385">
        <v>436.423</v>
      </c>
      <c r="D263" s="1385">
        <v>3126.29</v>
      </c>
      <c r="E263" s="1385">
        <v>1.0084766584844942</v>
      </c>
      <c r="F263" s="1385">
        <v>24.672859749095071</v>
      </c>
      <c r="K263" s="1465">
        <v>42320</v>
      </c>
      <c r="L263" s="1466" t="s">
        <v>2127</v>
      </c>
      <c r="M263" s="1467">
        <v>5.2531000000000001E-2</v>
      </c>
      <c r="N263" s="1468">
        <v>1.0933369824772854</v>
      </c>
      <c r="O263" s="1468">
        <v>1.0933369824772854</v>
      </c>
    </row>
    <row r="264" spans="2:15">
      <c r="B264" s="1384">
        <v>40452</v>
      </c>
      <c r="C264" s="1385">
        <v>440.82900000000001</v>
      </c>
      <c r="D264" s="1385">
        <v>3149.74</v>
      </c>
      <c r="E264" s="1385">
        <v>1.0080713835461668</v>
      </c>
      <c r="F264" s="1385">
        <v>24.872003863310798</v>
      </c>
      <c r="K264" s="1465">
        <v>42321</v>
      </c>
      <c r="L264" s="1466" t="s">
        <v>2127</v>
      </c>
      <c r="M264" s="1467">
        <v>5.2531000000000001E-2</v>
      </c>
      <c r="N264" s="1468">
        <v>1.0939113233275506</v>
      </c>
      <c r="O264" s="1468">
        <v>1.0939113233275506</v>
      </c>
    </row>
    <row r="265" spans="2:15">
      <c r="B265" s="1384">
        <v>40483</v>
      </c>
      <c r="C265" s="1385">
        <v>447.20600000000002</v>
      </c>
      <c r="D265" s="1385">
        <v>3175.88</v>
      </c>
      <c r="E265" s="1385">
        <v>1.008071383546167</v>
      </c>
      <c r="F265" s="1385">
        <v>25.072755346053327</v>
      </c>
      <c r="K265" s="1465">
        <v>42322</v>
      </c>
      <c r="L265" s="1466"/>
      <c r="M265" s="1467">
        <v>0</v>
      </c>
      <c r="N265" s="1468">
        <v>1.0939113233275506</v>
      </c>
      <c r="O265" s="1468">
        <v>1.0939113233275506</v>
      </c>
    </row>
    <row r="266" spans="2:15">
      <c r="B266" s="1384">
        <v>40513</v>
      </c>
      <c r="C266" s="1385">
        <v>450.30099999999999</v>
      </c>
      <c r="D266" s="1385">
        <v>3195.89</v>
      </c>
      <c r="E266" s="1385">
        <v>1.0092887868177591</v>
      </c>
      <c r="F266" s="1385">
        <v>25.305650825396647</v>
      </c>
      <c r="K266" s="1465">
        <v>42323</v>
      </c>
      <c r="L266" s="1466"/>
      <c r="M266" s="1467">
        <v>0</v>
      </c>
      <c r="N266" s="1468">
        <v>1.0939113233275506</v>
      </c>
      <c r="O266" s="1468">
        <v>1.0939113233275506</v>
      </c>
    </row>
    <row r="267" spans="2:15">
      <c r="B267" s="1384">
        <v>40544</v>
      </c>
      <c r="C267" s="1385">
        <v>453.875</v>
      </c>
      <c r="D267" s="1385">
        <v>3222.42</v>
      </c>
      <c r="E267" s="1385">
        <v>1.0086232010755674</v>
      </c>
      <c r="F267" s="1385">
        <v>25.52386654081214</v>
      </c>
      <c r="K267" s="1465">
        <v>42324</v>
      </c>
      <c r="L267" s="1466" t="s">
        <v>2127</v>
      </c>
      <c r="M267" s="1467">
        <v>5.2531000000000001E-2</v>
      </c>
      <c r="N267" s="1468">
        <v>1.0944859658848078</v>
      </c>
      <c r="O267" s="1468">
        <v>1.0944859658848078</v>
      </c>
    </row>
    <row r="268" spans="2:15">
      <c r="B268" s="1384">
        <v>40575</v>
      </c>
      <c r="C268" s="1385">
        <v>458.39699999999999</v>
      </c>
      <c r="D268" s="1385">
        <v>3248.2</v>
      </c>
      <c r="E268" s="1385">
        <v>1.0084390842010735</v>
      </c>
      <c r="F268" s="1385">
        <v>25.739264599687019</v>
      </c>
      <c r="K268" s="1465">
        <v>42325</v>
      </c>
      <c r="L268" s="1466" t="s">
        <v>2127</v>
      </c>
      <c r="M268" s="1467">
        <v>5.2531000000000001E-2</v>
      </c>
      <c r="N268" s="1468">
        <v>1.0950609103075468</v>
      </c>
      <c r="O268" s="1468">
        <v>1.0950609103075468</v>
      </c>
    </row>
    <row r="269" spans="2:15">
      <c r="B269" s="1384">
        <v>40603</v>
      </c>
      <c r="C269" s="1385">
        <v>461.24900000000002</v>
      </c>
      <c r="D269" s="1385">
        <v>3273.86</v>
      </c>
      <c r="E269" s="1385">
        <v>1.0092045846073012</v>
      </c>
      <c r="F269" s="1385">
        <v>25.97618383842455</v>
      </c>
      <c r="K269" s="1465">
        <v>42326</v>
      </c>
      <c r="L269" s="1466" t="s">
        <v>2127</v>
      </c>
      <c r="M269" s="1467">
        <v>5.2531000000000001E-2</v>
      </c>
      <c r="N269" s="1468">
        <v>1.0956361567543405</v>
      </c>
      <c r="O269" s="1468">
        <v>1.0956361567543405</v>
      </c>
    </row>
    <row r="270" spans="2:15">
      <c r="B270" s="1384">
        <v>40634</v>
      </c>
      <c r="C270" s="1385">
        <v>463.31099999999998</v>
      </c>
      <c r="D270" s="1385">
        <v>3299.07</v>
      </c>
      <c r="E270" s="1385">
        <v>1.0084015541577225</v>
      </c>
      <c r="F270" s="1385">
        <v>26.194424153754028</v>
      </c>
      <c r="K270" s="1465">
        <v>42327</v>
      </c>
      <c r="L270" s="1466" t="s">
        <v>2127</v>
      </c>
      <c r="M270" s="1467">
        <v>5.2531000000000001E-2</v>
      </c>
      <c r="N270" s="1468">
        <v>1.0962117053838452</v>
      </c>
      <c r="O270" s="1468">
        <v>1.0962117053838452</v>
      </c>
    </row>
    <row r="271" spans="2:15">
      <c r="B271" s="1384">
        <v>40664</v>
      </c>
      <c r="C271" s="1385">
        <v>465.31099999999998</v>
      </c>
      <c r="D271" s="1385">
        <v>3314.58</v>
      </c>
      <c r="E271" s="1385">
        <v>1.0098798495673293</v>
      </c>
      <c r="F271" s="1385">
        <v>26.453221123895936</v>
      </c>
      <c r="K271" s="1465">
        <v>42328</v>
      </c>
      <c r="L271" s="1466" t="s">
        <v>2127</v>
      </c>
      <c r="M271" s="1467">
        <v>5.2531000000000001E-2</v>
      </c>
      <c r="N271" s="1468">
        <v>1.0967875563548004</v>
      </c>
      <c r="O271" s="1468">
        <v>1.0967875563548004</v>
      </c>
    </row>
    <row r="272" spans="2:15">
      <c r="B272" s="1384">
        <v>40695</v>
      </c>
      <c r="C272" s="1385">
        <v>464.46300000000002</v>
      </c>
      <c r="D272" s="1385">
        <v>3319.55</v>
      </c>
      <c r="E272" s="1385">
        <v>1.0095627565914342</v>
      </c>
      <c r="F272" s="1385">
        <v>26.706186838563141</v>
      </c>
      <c r="K272" s="1465">
        <v>42329</v>
      </c>
      <c r="L272" s="1466"/>
      <c r="M272" s="1467">
        <v>0</v>
      </c>
      <c r="N272" s="1468">
        <v>1.0967875563548004</v>
      </c>
      <c r="O272" s="1468">
        <v>1.0967875563548004</v>
      </c>
    </row>
    <row r="273" spans="2:15">
      <c r="B273" s="1384">
        <v>40725</v>
      </c>
      <c r="C273" s="1385">
        <v>463.92700000000002</v>
      </c>
      <c r="D273" s="1385">
        <v>3324.86</v>
      </c>
      <c r="E273" s="1385">
        <v>1.0096788504099796</v>
      </c>
      <c r="F273" s="1385">
        <v>26.96467202599456</v>
      </c>
      <c r="K273" s="1465">
        <v>42330</v>
      </c>
      <c r="L273" s="1466"/>
      <c r="M273" s="1467">
        <v>0</v>
      </c>
      <c r="N273" s="1468">
        <v>1.0967875563548004</v>
      </c>
      <c r="O273" s="1468">
        <v>1.0967875563548004</v>
      </c>
    </row>
    <row r="274" spans="2:15">
      <c r="B274" s="1384">
        <v>40756</v>
      </c>
      <c r="C274" s="1385">
        <v>465.96800000000002</v>
      </c>
      <c r="D274" s="1385">
        <v>3337.16</v>
      </c>
      <c r="E274" s="1385">
        <v>1.0107406292787873</v>
      </c>
      <c r="F274" s="1385">
        <v>27.254289571849853</v>
      </c>
      <c r="K274" s="1465">
        <v>42331</v>
      </c>
      <c r="L274" s="1466" t="s">
        <v>2127</v>
      </c>
      <c r="M274" s="1467">
        <v>5.2531000000000001E-2</v>
      </c>
      <c r="N274" s="1468">
        <v>1.0973637098260292</v>
      </c>
      <c r="O274" s="1468">
        <v>1.0973637098260292</v>
      </c>
    </row>
    <row r="275" spans="2:15">
      <c r="B275" s="1384">
        <v>40787</v>
      </c>
      <c r="C275" s="1385">
        <v>468.97500000000002</v>
      </c>
      <c r="D275" s="1385">
        <v>3354.85</v>
      </c>
      <c r="E275" s="1385">
        <v>1.00941760689889</v>
      </c>
      <c r="F275" s="1385">
        <v>27.510959757346054</v>
      </c>
      <c r="K275" s="1465">
        <v>42332</v>
      </c>
      <c r="L275" s="1466" t="s">
        <v>2127</v>
      </c>
      <c r="M275" s="1467">
        <v>5.2531000000000001E-2</v>
      </c>
      <c r="N275" s="1468">
        <v>1.0979401659564378</v>
      </c>
      <c r="O275" s="1468">
        <v>1.0979401659564378</v>
      </c>
    </row>
    <row r="276" spans="2:15">
      <c r="B276" s="1384">
        <v>40817</v>
      </c>
      <c r="C276" s="1385">
        <v>471.46600000000001</v>
      </c>
      <c r="D276" s="1385">
        <v>3369.28</v>
      </c>
      <c r="E276" s="1385">
        <v>1.0088195463919019</v>
      </c>
      <c r="F276" s="1385">
        <v>27.753593943211712</v>
      </c>
      <c r="K276" s="1465">
        <v>42333</v>
      </c>
      <c r="L276" s="1466" t="s">
        <v>2127</v>
      </c>
      <c r="M276" s="1467">
        <v>5.2531000000000001E-2</v>
      </c>
      <c r="N276" s="1468">
        <v>1.0985169249050164</v>
      </c>
      <c r="O276" s="1468">
        <v>1.0985169249050164</v>
      </c>
    </row>
    <row r="277" spans="2:15">
      <c r="B277" s="1384">
        <v>40848</v>
      </c>
      <c r="C277" s="1385">
        <v>473.80799999999999</v>
      </c>
      <c r="D277" s="1385">
        <v>3386.8</v>
      </c>
      <c r="E277" s="1385">
        <v>1.0086047745492386</v>
      </c>
      <c r="F277" s="1385">
        <v>27.992407362024164</v>
      </c>
      <c r="K277" s="1465">
        <v>42334</v>
      </c>
      <c r="L277" s="1466" t="s">
        <v>2127</v>
      </c>
      <c r="M277" s="1467">
        <v>5.2531000000000001E-2</v>
      </c>
      <c r="N277" s="1468">
        <v>1.0990939868308383</v>
      </c>
      <c r="O277" s="1468">
        <v>1.0990939868308383</v>
      </c>
    </row>
    <row r="278" spans="2:15">
      <c r="B278" s="1384">
        <v>40878</v>
      </c>
      <c r="C278" s="1385">
        <v>473.25200000000001</v>
      </c>
      <c r="D278" s="1385">
        <v>3403.73</v>
      </c>
      <c r="E278" s="1385">
        <v>1.0090732804800764</v>
      </c>
      <c r="F278" s="1385">
        <v>28.246390325332364</v>
      </c>
      <c r="K278" s="1465">
        <v>42335</v>
      </c>
      <c r="L278" s="1466" t="s">
        <v>2127</v>
      </c>
      <c r="M278" s="1467">
        <v>5.2531000000000001E-2</v>
      </c>
      <c r="N278" s="1468">
        <v>1.0996713518930603</v>
      </c>
      <c r="O278" s="1468">
        <v>1.0996713518930603</v>
      </c>
    </row>
    <row r="279" spans="2:15">
      <c r="B279" s="1384">
        <v>40909</v>
      </c>
      <c r="C279" s="1385">
        <v>474.42899999999997</v>
      </c>
      <c r="D279" s="1385">
        <v>3422.79</v>
      </c>
      <c r="E279" s="1385">
        <v>1.0089101617717657</v>
      </c>
      <c r="F279" s="1385">
        <v>28.498070232599513</v>
      </c>
      <c r="K279" s="1465">
        <v>42336</v>
      </c>
      <c r="L279" s="1466"/>
      <c r="M279" s="1467">
        <v>0</v>
      </c>
      <c r="N279" s="1468">
        <v>1.0996713518930603</v>
      </c>
      <c r="O279" s="1468">
        <v>1.0996713518930603</v>
      </c>
    </row>
    <row r="280" spans="2:15">
      <c r="B280" s="1384">
        <v>40940</v>
      </c>
      <c r="C280" s="1385">
        <v>474.13799999999998</v>
      </c>
      <c r="D280" s="1385">
        <v>3438.19</v>
      </c>
      <c r="E280" s="1385">
        <v>1.0074877292470876</v>
      </c>
      <c r="F280" s="1385">
        <v>28.711456066565706</v>
      </c>
      <c r="K280" s="1465">
        <v>42337</v>
      </c>
      <c r="L280" s="1466"/>
      <c r="M280" s="1467">
        <v>0</v>
      </c>
      <c r="N280" s="1468">
        <v>1.0996713518930603</v>
      </c>
      <c r="O280" s="1468">
        <v>1.0996713518930603</v>
      </c>
    </row>
    <row r="281" spans="2:15">
      <c r="B281" s="1384">
        <v>40969</v>
      </c>
      <c r="C281" s="1385">
        <v>476.166</v>
      </c>
      <c r="D281" s="1385">
        <v>3445.41</v>
      </c>
      <c r="E281" s="1385">
        <v>1.0082113884808406</v>
      </c>
      <c r="F281" s="1385">
        <v>28.947216986178862</v>
      </c>
      <c r="K281" s="1465">
        <v>42338</v>
      </c>
      <c r="L281" s="1466" t="s">
        <v>2127</v>
      </c>
      <c r="M281" s="1467">
        <v>5.2531000000000001E-2</v>
      </c>
      <c r="N281" s="1468">
        <v>1.1002490202509232</v>
      </c>
      <c r="O281" s="1468">
        <v>1.1002490202509232</v>
      </c>
    </row>
    <row r="282" spans="2:15">
      <c r="B282" s="1384">
        <v>41000</v>
      </c>
      <c r="C282" s="1385">
        <v>480.22899999999998</v>
      </c>
      <c r="D282" s="1385">
        <v>3467.46</v>
      </c>
      <c r="E282" s="1385">
        <v>1.0071187588624242</v>
      </c>
      <c r="F282" s="1385">
        <v>29.15328524364174</v>
      </c>
      <c r="K282" s="1465">
        <v>42339</v>
      </c>
      <c r="L282" s="1466" t="s">
        <v>2127</v>
      </c>
      <c r="M282" s="1467">
        <v>5.2531000000000001E-2</v>
      </c>
      <c r="N282" s="1468">
        <v>1.1008269920637512</v>
      </c>
      <c r="O282" s="1468">
        <v>1.1008269920637512</v>
      </c>
    </row>
    <row r="283" spans="2:15">
      <c r="B283" s="1384">
        <v>41030</v>
      </c>
      <c r="C283" s="1385">
        <v>485.14</v>
      </c>
      <c r="D283" s="1385">
        <v>3479.94</v>
      </c>
      <c r="E283" s="1385">
        <v>1.007447242329657</v>
      </c>
      <c r="F283" s="1385">
        <v>29.370396823556753</v>
      </c>
      <c r="G283" s="11"/>
      <c r="K283" s="1465">
        <v>42340</v>
      </c>
      <c r="L283" s="1466" t="s">
        <v>2127</v>
      </c>
      <c r="M283" s="1467">
        <v>5.2531000000000001E-2</v>
      </c>
      <c r="N283" s="1468">
        <v>1.1014052674909522</v>
      </c>
      <c r="O283" s="1468">
        <v>1.1014052674909522</v>
      </c>
    </row>
    <row r="284" spans="2:15">
      <c r="B284" s="1384">
        <v>41061</v>
      </c>
      <c r="C284" s="1385">
        <v>488.34199999999998</v>
      </c>
      <c r="D284" s="1385">
        <v>3482.72</v>
      </c>
      <c r="E284" s="1385">
        <v>1.0064150263426446</v>
      </c>
      <c r="F284" s="1385">
        <v>29.558808692873793</v>
      </c>
      <c r="K284" s="1465">
        <v>42341</v>
      </c>
      <c r="L284" s="1466" t="s">
        <v>2127</v>
      </c>
      <c r="M284" s="1467">
        <v>5.2531000000000001E-2</v>
      </c>
      <c r="N284" s="1468">
        <v>1.101983846692018</v>
      </c>
      <c r="O284" s="1468">
        <v>1.101983846692018</v>
      </c>
    </row>
    <row r="285" spans="2:15">
      <c r="B285" s="1384">
        <v>41091</v>
      </c>
      <c r="C285" s="1385">
        <v>494.89100000000002</v>
      </c>
      <c r="D285" s="1385">
        <v>3497.7</v>
      </c>
      <c r="E285" s="1385">
        <v>1.0067996486835762</v>
      </c>
      <c r="F285" s="1385">
        <v>29.759798207490373</v>
      </c>
      <c r="K285" s="1465">
        <v>42342</v>
      </c>
      <c r="L285" s="1466" t="s">
        <v>2127</v>
      </c>
      <c r="M285" s="1467">
        <v>5.2531000000000001E-2</v>
      </c>
      <c r="N285" s="1468">
        <v>1.1025627298265237</v>
      </c>
      <c r="O285" s="1468">
        <v>1.1025627298265237</v>
      </c>
    </row>
    <row r="286" spans="2:15">
      <c r="B286" s="1384">
        <v>41122</v>
      </c>
      <c r="C286" s="1385">
        <v>501.95699999999999</v>
      </c>
      <c r="D286" s="1385">
        <v>3512.04</v>
      </c>
      <c r="E286" s="1385">
        <v>1.0069181066014252</v>
      </c>
      <c r="F286" s="1385">
        <v>29.965679663926696</v>
      </c>
      <c r="K286" s="1465">
        <v>42343</v>
      </c>
      <c r="L286" s="1466"/>
      <c r="M286" s="1467">
        <v>0</v>
      </c>
      <c r="N286" s="1468">
        <v>1.1025627298265237</v>
      </c>
      <c r="O286" s="1468">
        <v>1.1025627298265237</v>
      </c>
    </row>
    <row r="287" spans="2:15">
      <c r="B287" s="1384">
        <v>41153</v>
      </c>
      <c r="C287" s="1385">
        <v>506.80399999999997</v>
      </c>
      <c r="D287" s="1385">
        <v>3532.06</v>
      </c>
      <c r="E287" s="1385">
        <v>1.0053899533259578</v>
      </c>
      <c r="F287" s="1385">
        <v>30.127193278695866</v>
      </c>
      <c r="K287" s="1465">
        <v>42344</v>
      </c>
      <c r="L287" s="1466"/>
      <c r="M287" s="1467">
        <v>0</v>
      </c>
      <c r="N287" s="1468">
        <v>1.1025627298265237</v>
      </c>
      <c r="O287" s="1468">
        <v>1.1025627298265237</v>
      </c>
    </row>
    <row r="288" spans="2:15">
      <c r="B288" s="1384">
        <v>41183</v>
      </c>
      <c r="C288" s="1385">
        <v>506.92599999999999</v>
      </c>
      <c r="D288" s="1385">
        <v>3552.9</v>
      </c>
      <c r="E288" s="1385">
        <v>1.0061133864051108</v>
      </c>
      <c r="F288" s="1385">
        <v>30.311372452509993</v>
      </c>
      <c r="K288" s="1465">
        <v>42345</v>
      </c>
      <c r="L288" s="1466" t="s">
        <v>2127</v>
      </c>
      <c r="M288" s="1467">
        <v>5.2531000000000001E-2</v>
      </c>
      <c r="N288" s="1468">
        <v>1.1031419170541288</v>
      </c>
      <c r="O288" s="1468">
        <v>1.1031419170541288</v>
      </c>
    </row>
    <row r="289" spans="2:15">
      <c r="B289" s="1384">
        <v>41214</v>
      </c>
      <c r="C289" s="1385">
        <v>506.79500000000002</v>
      </c>
      <c r="D289" s="1385">
        <v>3574.22</v>
      </c>
      <c r="E289" s="1385">
        <v>1.0054884576647556</v>
      </c>
      <c r="F289" s="1385">
        <v>30.477735136976232</v>
      </c>
      <c r="K289" s="1465">
        <v>42346</v>
      </c>
      <c r="L289" s="1466" t="s">
        <v>2127</v>
      </c>
      <c r="M289" s="1467">
        <v>5.2531000000000001E-2</v>
      </c>
      <c r="N289" s="1468">
        <v>1.1037214085345766</v>
      </c>
      <c r="O289" s="1468">
        <v>1.1037214085345766</v>
      </c>
    </row>
    <row r="290" spans="2:15">
      <c r="B290" s="1384">
        <v>41244</v>
      </c>
      <c r="C290" s="1385">
        <v>510.25200000000001</v>
      </c>
      <c r="D290" s="1385">
        <v>3602.46</v>
      </c>
      <c r="E290" s="1385">
        <v>1.0055015154231364</v>
      </c>
      <c r="F290" s="1385">
        <v>30.645408866894574</v>
      </c>
      <c r="K290" s="1465">
        <v>42347</v>
      </c>
      <c r="L290" s="1466" t="s">
        <v>2127</v>
      </c>
      <c r="M290" s="1467">
        <v>5.2531000000000001E-2</v>
      </c>
      <c r="N290" s="1468">
        <v>1.1043012044276939</v>
      </c>
      <c r="O290" s="1468">
        <v>1.1043012044276939</v>
      </c>
    </row>
    <row r="291" spans="2:15">
      <c r="B291" s="1384">
        <v>41275</v>
      </c>
      <c r="C291" s="1385">
        <v>511.97699999999998</v>
      </c>
      <c r="D291" s="1385">
        <v>3633.44</v>
      </c>
      <c r="E291" s="1385">
        <v>1.0060143970219473</v>
      </c>
      <c r="F291" s="1385">
        <v>30.82972252271998</v>
      </c>
      <c r="K291" s="1465">
        <v>42348</v>
      </c>
      <c r="L291" s="1466" t="s">
        <v>2127</v>
      </c>
      <c r="M291" s="1467">
        <v>5.2531000000000001E-2</v>
      </c>
      <c r="N291" s="1468">
        <v>1.1048813048933919</v>
      </c>
      <c r="O291" s="1468">
        <v>1.1048813048933919</v>
      </c>
    </row>
    <row r="292" spans="2:15">
      <c r="B292" s="1384">
        <v>41306</v>
      </c>
      <c r="C292" s="1385">
        <v>513.46699999999998</v>
      </c>
      <c r="D292" s="1385">
        <v>3655.24</v>
      </c>
      <c r="E292" s="1385">
        <v>1.0049274991744226</v>
      </c>
      <c r="F292" s="1385">
        <v>30.98163595499836</v>
      </c>
      <c r="K292" s="1465">
        <v>42349</v>
      </c>
      <c r="L292" s="1466" t="s">
        <v>2127</v>
      </c>
      <c r="M292" s="1467">
        <v>5.2531000000000001E-2</v>
      </c>
      <c r="N292" s="1468">
        <v>1.1054617100916655</v>
      </c>
      <c r="O292" s="1468">
        <v>1.1054617100916655</v>
      </c>
    </row>
    <row r="293" spans="2:15">
      <c r="B293" s="1384">
        <v>41334</v>
      </c>
      <c r="C293" s="1385">
        <v>514.52599999999995</v>
      </c>
      <c r="D293" s="1385">
        <v>3672.42</v>
      </c>
      <c r="E293" s="1385">
        <v>1.0054940366101026</v>
      </c>
      <c r="F293" s="1385">
        <v>31.151850197175992</v>
      </c>
      <c r="K293" s="1465">
        <v>42350</v>
      </c>
      <c r="L293" s="1466"/>
      <c r="M293" s="1467">
        <v>0</v>
      </c>
      <c r="N293" s="1468">
        <v>1.1054617100916655</v>
      </c>
      <c r="O293" s="1468">
        <v>1.1054617100916655</v>
      </c>
    </row>
    <row r="294" spans="2:15">
      <c r="B294" s="1384">
        <v>41365</v>
      </c>
      <c r="C294" s="1385">
        <v>515.27599999999995</v>
      </c>
      <c r="D294" s="1385">
        <v>3692.62</v>
      </c>
      <c r="E294" s="1385">
        <v>1.0061364605097283</v>
      </c>
      <c r="F294" s="1385">
        <v>31.343012295715933</v>
      </c>
      <c r="K294" s="1465">
        <v>42351</v>
      </c>
      <c r="L294" s="1466"/>
      <c r="M294" s="1467">
        <v>0</v>
      </c>
      <c r="N294" s="1468">
        <v>1.1054617100916655</v>
      </c>
      <c r="O294" s="1468">
        <v>1.1054617100916655</v>
      </c>
    </row>
    <row r="295" spans="2:15">
      <c r="B295" s="1384">
        <v>41395</v>
      </c>
      <c r="C295" s="1385">
        <v>515.29899999999998</v>
      </c>
      <c r="D295" s="1385">
        <v>3706.28</v>
      </c>
      <c r="E295" s="1385">
        <v>1.0059853629993882</v>
      </c>
      <c r="F295" s="1385">
        <v>31.530611601800082</v>
      </c>
      <c r="K295" s="1465">
        <v>42352</v>
      </c>
      <c r="L295" s="1466" t="s">
        <v>2127</v>
      </c>
      <c r="M295" s="1467">
        <v>5.2531000000000001E-2</v>
      </c>
      <c r="N295" s="1468">
        <v>1.1060424201825938</v>
      </c>
      <c r="O295" s="1468">
        <v>1.1060424201825938</v>
      </c>
    </row>
    <row r="296" spans="2:15">
      <c r="B296" s="1384">
        <v>41426</v>
      </c>
      <c r="C296" s="1385">
        <v>519.15300000000002</v>
      </c>
      <c r="D296" s="1385">
        <v>3715.92</v>
      </c>
      <c r="E296" s="1385">
        <v>1.0060527337434972</v>
      </c>
      <c r="F296" s="1385">
        <v>31.721457998595405</v>
      </c>
      <c r="G296" s="66"/>
      <c r="K296" s="1465">
        <v>42353</v>
      </c>
      <c r="L296" s="1466" t="s">
        <v>2127</v>
      </c>
      <c r="M296" s="1467">
        <v>5.2531000000000001E-2</v>
      </c>
      <c r="N296" s="1468">
        <v>1.10662343532634</v>
      </c>
      <c r="O296" s="1468">
        <v>1.10662343532634</v>
      </c>
    </row>
    <row r="297" spans="2:15">
      <c r="B297" s="1384">
        <v>41456</v>
      </c>
      <c r="C297" s="1385">
        <v>520.50800000000004</v>
      </c>
      <c r="D297" s="1385">
        <v>3717.03</v>
      </c>
      <c r="E297" s="1385">
        <v>1.0072409169740031</v>
      </c>
      <c r="F297" s="1385">
        <v>31.951150442257561</v>
      </c>
      <c r="K297" s="1465">
        <v>42354</v>
      </c>
      <c r="L297" s="1466" t="s">
        <v>2127</v>
      </c>
      <c r="M297" s="1467">
        <v>5.2531000000000001E-2</v>
      </c>
      <c r="N297" s="1468">
        <v>1.1072047556831512</v>
      </c>
      <c r="O297" s="1468">
        <v>1.1072047556831512</v>
      </c>
    </row>
    <row r="298" spans="2:15">
      <c r="B298" s="1384">
        <v>41487</v>
      </c>
      <c r="C298" s="1385">
        <v>521.27</v>
      </c>
      <c r="D298" s="1385">
        <v>3725.95</v>
      </c>
      <c r="E298" s="1385">
        <v>1.0071031495053051</v>
      </c>
      <c r="F298" s="1385">
        <v>32.178104240715413</v>
      </c>
      <c r="K298" s="1465">
        <v>42355</v>
      </c>
      <c r="L298" s="1466" t="s">
        <v>2127</v>
      </c>
      <c r="M298" s="1467">
        <v>5.2531000000000001E-2</v>
      </c>
      <c r="N298" s="1468">
        <v>1.1077863814133591</v>
      </c>
      <c r="O298" s="1468">
        <v>1.1077863814133591</v>
      </c>
    </row>
    <row r="299" spans="2:15">
      <c r="B299" s="1384">
        <v>41518</v>
      </c>
      <c r="C299" s="1385">
        <v>529.08500000000004</v>
      </c>
      <c r="D299" s="1385">
        <v>3738.99</v>
      </c>
      <c r="E299" s="1385">
        <v>1.0071302882501354</v>
      </c>
      <c r="F299" s="1385">
        <v>32.407543399294617</v>
      </c>
      <c r="K299" s="1465">
        <v>42356</v>
      </c>
      <c r="L299" s="1466" t="s">
        <v>2127</v>
      </c>
      <c r="M299" s="1467">
        <v>5.2531000000000001E-2</v>
      </c>
      <c r="N299" s="1468">
        <v>1.1083683126773793</v>
      </c>
      <c r="O299" s="1468">
        <v>1.1083683126773793</v>
      </c>
    </row>
    <row r="300" spans="2:15">
      <c r="B300" s="1384">
        <v>41548</v>
      </c>
      <c r="C300" s="1385">
        <v>533.62099999999998</v>
      </c>
      <c r="D300" s="1385">
        <v>3760.3</v>
      </c>
      <c r="E300" s="1385">
        <v>1.0081051023495244</v>
      </c>
      <c r="F300" s="1385">
        <v>32.670209855442558</v>
      </c>
      <c r="G300" s="67"/>
      <c r="K300" s="1465">
        <v>42357</v>
      </c>
      <c r="L300" s="1466"/>
      <c r="M300" s="1467">
        <v>0</v>
      </c>
      <c r="N300" s="1468">
        <v>1.1083683126773793</v>
      </c>
      <c r="O300" s="1468">
        <v>1.1083683126773793</v>
      </c>
    </row>
    <row r="301" spans="2:15">
      <c r="B301" s="1384">
        <v>41579</v>
      </c>
      <c r="C301" s="1385">
        <v>535.16800000000001</v>
      </c>
      <c r="D301" s="1385">
        <v>3780.61</v>
      </c>
      <c r="E301" s="1385">
        <v>1.0071920752752215</v>
      </c>
      <c r="F301" s="1385">
        <v>32.905176463980183</v>
      </c>
      <c r="G301" s="67"/>
      <c r="K301" s="1465">
        <v>42358</v>
      </c>
      <c r="L301" s="1466"/>
      <c r="M301" s="1467">
        <v>0</v>
      </c>
      <c r="N301" s="1468">
        <v>1.1083683126773793</v>
      </c>
      <c r="O301" s="1468">
        <v>1.1083683126773793</v>
      </c>
    </row>
    <row r="302" spans="2:15">
      <c r="B302" s="1384">
        <v>41609</v>
      </c>
      <c r="C302" s="1385">
        <v>538.37</v>
      </c>
      <c r="D302" s="1385">
        <v>3815.39</v>
      </c>
      <c r="E302" s="1385">
        <v>1.0078974581644051</v>
      </c>
      <c r="F302" s="1385">
        <v>33.165043718496833</v>
      </c>
      <c r="G302" s="66"/>
      <c r="K302" s="1465">
        <v>42359</v>
      </c>
      <c r="L302" s="1466" t="s">
        <v>2127</v>
      </c>
      <c r="M302" s="1467">
        <v>5.2531000000000001E-2</v>
      </c>
      <c r="N302" s="1468">
        <v>1.1089505496357119</v>
      </c>
      <c r="O302" s="1468">
        <v>1.1089505496357119</v>
      </c>
    </row>
    <row r="303" spans="2:15">
      <c r="B303" s="1384">
        <v>41640</v>
      </c>
      <c r="C303" s="1385">
        <v>540.95899999999995</v>
      </c>
      <c r="D303" s="1385">
        <v>3836.38</v>
      </c>
      <c r="E303" s="1385">
        <v>1.0084934395272054</v>
      </c>
      <c r="F303" s="1385">
        <v>33.446729011737006</v>
      </c>
      <c r="K303" s="1465">
        <v>42360</v>
      </c>
      <c r="L303" s="1466" t="s">
        <v>2127</v>
      </c>
      <c r="M303" s="1467">
        <v>5.2531000000000001E-2</v>
      </c>
      <c r="N303" s="1468">
        <v>1.109533092448941</v>
      </c>
      <c r="O303" s="1468">
        <v>1.109533092448941</v>
      </c>
    </row>
    <row r="304" spans="2:15">
      <c r="B304" s="1384">
        <v>41671</v>
      </c>
      <c r="C304" s="1385">
        <v>543.03800000000001</v>
      </c>
      <c r="D304" s="1385">
        <v>3862.84</v>
      </c>
      <c r="E304" s="1385">
        <v>1.007901464239193</v>
      </c>
      <c r="F304" s="1385">
        <v>33.711007144941227</v>
      </c>
      <c r="K304" s="1465">
        <v>42361</v>
      </c>
      <c r="L304" s="1466" t="s">
        <v>2127</v>
      </c>
      <c r="M304" s="1467">
        <v>5.2531000000000001E-2</v>
      </c>
      <c r="N304" s="1468">
        <v>1.1101159412777355</v>
      </c>
      <c r="O304" s="1468">
        <v>1.1101159412777355</v>
      </c>
    </row>
    <row r="305" spans="2:15">
      <c r="B305" s="1384">
        <v>41699</v>
      </c>
      <c r="C305" s="1385">
        <v>552.08699999999999</v>
      </c>
      <c r="D305" s="1385">
        <v>3898.38</v>
      </c>
      <c r="E305" s="1385">
        <v>1.0076595732083427</v>
      </c>
      <c r="F305" s="1385">
        <v>33.969219072094866</v>
      </c>
      <c r="K305" s="1465">
        <v>42362</v>
      </c>
      <c r="L305" s="1466" t="s">
        <v>2127</v>
      </c>
      <c r="M305" s="1467">
        <v>5.2531000000000001E-2</v>
      </c>
      <c r="N305" s="1468">
        <v>1.110699096282848</v>
      </c>
      <c r="O305" s="1468">
        <v>1.110699096282848</v>
      </c>
    </row>
    <row r="306" spans="2:15">
      <c r="B306" s="1384">
        <v>41730</v>
      </c>
      <c r="C306" s="1385">
        <v>556.41999999999996</v>
      </c>
      <c r="D306" s="1385">
        <v>3924.5</v>
      </c>
      <c r="E306" s="1385">
        <v>1.0082266762081393</v>
      </c>
      <c r="F306" s="1385">
        <v>34.248672838444342</v>
      </c>
      <c r="K306" s="1465">
        <v>42363</v>
      </c>
      <c r="L306" s="1466"/>
      <c r="M306" s="1467">
        <v>0</v>
      </c>
      <c r="N306" s="1468">
        <v>1.110699096282848</v>
      </c>
      <c r="O306" s="1468">
        <v>1.110699096282848</v>
      </c>
    </row>
    <row r="307" spans="2:15">
      <c r="B307" s="1384">
        <v>41760</v>
      </c>
      <c r="C307" s="1385">
        <v>555.67899999999997</v>
      </c>
      <c r="D307" s="1385">
        <v>3942.55</v>
      </c>
      <c r="E307" s="1385">
        <v>1.0086587318278823</v>
      </c>
      <c r="F307" s="1385">
        <v>34.545222912013308</v>
      </c>
      <c r="K307" s="1465">
        <v>42364</v>
      </c>
      <c r="L307" s="1466"/>
      <c r="M307" s="1467">
        <v>0</v>
      </c>
      <c r="N307" s="1468">
        <v>1.110699096282848</v>
      </c>
      <c r="O307" s="1468">
        <v>1.110699096282848</v>
      </c>
    </row>
    <row r="308" spans="2:15">
      <c r="B308" s="1384">
        <v>41791</v>
      </c>
      <c r="C308" s="1385">
        <v>551.55399999999997</v>
      </c>
      <c r="D308" s="1385">
        <v>3958.32</v>
      </c>
      <c r="E308" s="1385">
        <v>1.0082447163000285</v>
      </c>
      <c r="F308" s="1385">
        <v>34.830038474444102</v>
      </c>
      <c r="K308" s="1465">
        <v>42365</v>
      </c>
      <c r="L308" s="1466"/>
      <c r="M308" s="1467">
        <v>0</v>
      </c>
      <c r="N308" s="1468">
        <v>1.110699096282848</v>
      </c>
      <c r="O308" s="1468">
        <v>1.110699096282848</v>
      </c>
    </row>
    <row r="309" spans="2:15">
      <c r="B309" s="1384">
        <v>41821</v>
      </c>
      <c r="C309" s="1385">
        <v>548.202</v>
      </c>
      <c r="D309" s="1385">
        <v>3958.72</v>
      </c>
      <c r="E309" s="1385">
        <v>1.0094872729749897</v>
      </c>
      <c r="F309" s="1385">
        <v>35.160480557180549</v>
      </c>
      <c r="K309" s="1465">
        <v>42366</v>
      </c>
      <c r="L309" s="1466" t="s">
        <v>2127</v>
      </c>
      <c r="M309" s="1467">
        <v>5.2531000000000001E-2</v>
      </c>
      <c r="N309" s="1468">
        <v>1.1112825576251164</v>
      </c>
      <c r="O309" s="1468">
        <v>1.1112825576251164</v>
      </c>
    </row>
    <row r="310" spans="2:15">
      <c r="B310" s="1384">
        <v>41852</v>
      </c>
      <c r="C310" s="1385">
        <v>546.745</v>
      </c>
      <c r="D310" s="1385">
        <v>3968.62</v>
      </c>
      <c r="E310" s="1385">
        <v>1.0086598207325679</v>
      </c>
      <c r="F310" s="1385">
        <v>35.464964015676671</v>
      </c>
      <c r="K310" s="1465">
        <v>42367</v>
      </c>
      <c r="L310" s="1466" t="s">
        <v>2127</v>
      </c>
      <c r="M310" s="1467">
        <v>5.2531000000000001E-2</v>
      </c>
      <c r="N310" s="1468">
        <v>1.1118663254654624</v>
      </c>
      <c r="O310" s="1468">
        <v>1.1118663254654624</v>
      </c>
    </row>
    <row r="311" spans="2:15">
      <c r="B311" s="1384">
        <v>41883</v>
      </c>
      <c r="C311" s="1385">
        <v>547.83900000000006</v>
      </c>
      <c r="D311" s="1385">
        <v>3991.24</v>
      </c>
      <c r="E311" s="1385">
        <v>1.0090729173629331</v>
      </c>
      <c r="F311" s="1385">
        <v>35.786734703470302</v>
      </c>
      <c r="K311" s="1465">
        <v>42368</v>
      </c>
      <c r="L311" s="1466" t="s">
        <v>2127</v>
      </c>
      <c r="M311" s="1467">
        <v>5.2531000000000001E-2</v>
      </c>
      <c r="N311" s="1468">
        <v>1.1124503999648927</v>
      </c>
      <c r="O311" s="1468">
        <v>1.1124503999648927</v>
      </c>
    </row>
    <row r="312" spans="2:15">
      <c r="B312" s="1384">
        <v>41913</v>
      </c>
      <c r="C312" s="1385">
        <v>549.39599999999996</v>
      </c>
      <c r="D312" s="1385">
        <v>4008</v>
      </c>
      <c r="E312" s="1385">
        <v>1.009505315279368</v>
      </c>
      <c r="F312" s="1385">
        <v>36.126898899645887</v>
      </c>
      <c r="K312" s="1465">
        <v>42369</v>
      </c>
      <c r="L312" s="1466" t="s">
        <v>2127</v>
      </c>
      <c r="M312" s="1467">
        <v>5.2531000000000001E-2</v>
      </c>
      <c r="N312" s="1468">
        <v>1.1130347812844983</v>
      </c>
      <c r="O312" s="1468">
        <v>1.1130347812844983</v>
      </c>
    </row>
    <row r="313" spans="2:15">
      <c r="B313" s="1384">
        <v>41944</v>
      </c>
      <c r="C313" s="1385">
        <v>554.76900000000001</v>
      </c>
      <c r="D313" s="1385">
        <v>4028.44</v>
      </c>
      <c r="E313" s="1385">
        <v>1.0084249317586502</v>
      </c>
      <c r="F313" s="1385">
        <v>36.431265557527063</v>
      </c>
      <c r="K313" s="1465">
        <v>42370</v>
      </c>
      <c r="L313" s="1466"/>
      <c r="M313" s="1467">
        <v>0</v>
      </c>
      <c r="N313" s="1468">
        <v>1.1130347812844983</v>
      </c>
      <c r="O313" s="1468">
        <v>1.1130347812844983</v>
      </c>
    </row>
    <row r="314" spans="2:15">
      <c r="B314" s="1384">
        <v>41974</v>
      </c>
      <c r="C314" s="1385">
        <v>558.21299999999997</v>
      </c>
      <c r="D314" s="1385">
        <v>4059.86</v>
      </c>
      <c r="E314" s="1385">
        <v>1.0096129495106978</v>
      </c>
      <c r="F314" s="1385">
        <v>36.781477473942395</v>
      </c>
      <c r="K314" s="1465">
        <v>42371</v>
      </c>
      <c r="L314" s="1466"/>
      <c r="M314" s="1467">
        <v>0</v>
      </c>
      <c r="N314" s="1468">
        <v>1.1130347812844983</v>
      </c>
      <c r="O314" s="1468">
        <v>1.1130347812844983</v>
      </c>
    </row>
    <row r="315" spans="2:15">
      <c r="B315" s="1384">
        <v>42005</v>
      </c>
      <c r="C315" s="1385">
        <v>562.48199999999997</v>
      </c>
      <c r="D315" s="1385">
        <v>4110.2</v>
      </c>
      <c r="E315" s="1385">
        <v>1.0093507541041149</v>
      </c>
      <c r="F315" s="1385">
        <v>37.12541202538727</v>
      </c>
      <c r="K315" s="1465">
        <v>42372</v>
      </c>
      <c r="L315" s="1466"/>
      <c r="M315" s="1467">
        <v>0</v>
      </c>
      <c r="N315" s="1468">
        <v>1.1130347812844983</v>
      </c>
      <c r="O315" s="1468">
        <v>1.1130347812844983</v>
      </c>
    </row>
    <row r="316" spans="2:15">
      <c r="B316" s="1384">
        <v>42036</v>
      </c>
      <c r="C316" s="1385">
        <v>564.00400000000002</v>
      </c>
      <c r="D316" s="1385">
        <v>4160.34</v>
      </c>
      <c r="E316" s="1385">
        <v>1.0082241099890967</v>
      </c>
      <c r="F316" s="1385">
        <v>37.43073549727459</v>
      </c>
      <c r="K316" s="1465">
        <v>42373</v>
      </c>
      <c r="L316" s="1466" t="s">
        <v>2127</v>
      </c>
      <c r="M316" s="1467">
        <v>5.2531000000000001E-2</v>
      </c>
      <c r="N316" s="1468">
        <v>1.1136194695854549</v>
      </c>
      <c r="O316" s="1468">
        <v>1.1136194695854549</v>
      </c>
    </row>
    <row r="317" spans="2:15">
      <c r="B317" s="1384">
        <v>42064</v>
      </c>
      <c r="C317" s="1385">
        <v>569.53599999999994</v>
      </c>
      <c r="D317" s="1385">
        <v>4215.26</v>
      </c>
      <c r="E317" s="1385">
        <v>1.0103996710699541</v>
      </c>
      <c r="F317" s="1385">
        <v>37.820002834352699</v>
      </c>
      <c r="K317" s="1465">
        <v>42374</v>
      </c>
      <c r="L317" s="1466" t="s">
        <v>2127</v>
      </c>
      <c r="M317" s="1467">
        <v>5.2531000000000001E-2</v>
      </c>
      <c r="N317" s="1468">
        <v>1.1142044650290228</v>
      </c>
      <c r="O317" s="1468">
        <v>1.1142044650290228</v>
      </c>
    </row>
    <row r="318" spans="2:15">
      <c r="B318" s="1384">
        <v>42095</v>
      </c>
      <c r="C318" s="1385">
        <v>576.17499999999995</v>
      </c>
      <c r="D318" s="1385">
        <v>4245.1899999999996</v>
      </c>
      <c r="E318" s="1385">
        <v>1.0095179160892187</v>
      </c>
      <c r="F318" s="1385">
        <v>38.179970447824083</v>
      </c>
      <c r="K318" s="1465">
        <v>42375</v>
      </c>
      <c r="L318" s="1466" t="s">
        <v>2127</v>
      </c>
      <c r="M318" s="1467">
        <v>5.2531000000000001E-2</v>
      </c>
      <c r="N318" s="1468">
        <v>1.1147897677765473</v>
      </c>
      <c r="O318" s="1468">
        <v>1.1147897677765473</v>
      </c>
    </row>
    <row r="319" spans="2:15">
      <c r="B319" s="1384">
        <v>42125</v>
      </c>
      <c r="C319" s="1385">
        <v>578.51599999999996</v>
      </c>
      <c r="D319" s="1385">
        <v>4276.6000000000004</v>
      </c>
      <c r="E319" s="1385">
        <v>1.0098532226245138</v>
      </c>
      <c r="F319" s="1385">
        <v>38.556166196443854</v>
      </c>
      <c r="K319" s="1465">
        <v>42376</v>
      </c>
      <c r="L319" s="1466" t="s">
        <v>2127</v>
      </c>
      <c r="M319" s="1467">
        <v>5.2531000000000001E-2</v>
      </c>
      <c r="N319" s="1468">
        <v>1.115375377989458</v>
      </c>
      <c r="O319" s="1468">
        <v>1.115375377989458</v>
      </c>
    </row>
    <row r="320" spans="2:15">
      <c r="B320" s="1384">
        <v>42156</v>
      </c>
      <c r="C320" s="1385">
        <v>582.40099999999995</v>
      </c>
      <c r="D320" s="1385">
        <v>4310.3900000000003</v>
      </c>
      <c r="E320" s="1385">
        <v>1.0106667572412273</v>
      </c>
      <c r="F320" s="1385">
        <v>38.967435461413736</v>
      </c>
      <c r="K320" s="1465">
        <v>42377</v>
      </c>
      <c r="L320" s="1466" t="s">
        <v>2127</v>
      </c>
      <c r="M320" s="1467">
        <v>5.2531000000000001E-2</v>
      </c>
      <c r="N320" s="1468">
        <v>1.1159612958292695</v>
      </c>
      <c r="O320" s="1468">
        <v>1.1159612958292695</v>
      </c>
    </row>
    <row r="321" spans="2:15">
      <c r="B321" s="1384">
        <v>42186</v>
      </c>
      <c r="C321" s="1385">
        <v>586.42600000000004</v>
      </c>
      <c r="D321" s="1385">
        <v>4337.1099999999997</v>
      </c>
      <c r="E321" s="1385">
        <v>1.0117819838421735</v>
      </c>
      <c r="F321" s="1385">
        <v>39.426549156391054</v>
      </c>
      <c r="K321" s="1465">
        <v>42378</v>
      </c>
      <c r="L321" s="1466"/>
      <c r="M321" s="1467">
        <v>0</v>
      </c>
      <c r="N321" s="1468">
        <v>1.1159612958292695</v>
      </c>
      <c r="O321" s="1468">
        <v>1.1159612958292695</v>
      </c>
    </row>
    <row r="322" spans="2:15">
      <c r="B322" s="1384">
        <v>42217</v>
      </c>
      <c r="C322" s="1385">
        <v>588.04200000000003</v>
      </c>
      <c r="D322" s="1385">
        <v>4346.6499999999996</v>
      </c>
      <c r="E322" s="1385">
        <v>1.0110896528780247</v>
      </c>
      <c r="F322" s="1385">
        <v>39.863775900713804</v>
      </c>
      <c r="K322" s="1465">
        <v>42379</v>
      </c>
      <c r="L322" s="1466"/>
      <c r="M322" s="1467">
        <v>0</v>
      </c>
      <c r="N322" s="1468">
        <v>1.1159612958292695</v>
      </c>
      <c r="O322" s="1468">
        <v>1.1159612958292695</v>
      </c>
    </row>
    <row r="323" spans="2:15">
      <c r="B323" s="1384">
        <v>42248</v>
      </c>
      <c r="C323" s="1385">
        <v>593.60599999999999</v>
      </c>
      <c r="D323" s="1385">
        <v>4370.12</v>
      </c>
      <c r="E323" s="1385">
        <v>1.0110896528780244</v>
      </c>
      <c r="F323" s="1385">
        <v>40.305851337860076</v>
      </c>
      <c r="K323" s="1465">
        <v>42380</v>
      </c>
      <c r="L323" s="1466" t="s">
        <v>2127</v>
      </c>
      <c r="M323" s="1467">
        <v>5.2531000000000001E-2</v>
      </c>
      <c r="N323" s="1468">
        <v>1.1165475214575815</v>
      </c>
      <c r="O323" s="1468">
        <v>1.1165475214575815</v>
      </c>
    </row>
    <row r="324" spans="2:15">
      <c r="B324" s="1384">
        <v>42278</v>
      </c>
      <c r="C324" s="1385">
        <v>604.83199999999999</v>
      </c>
      <c r="D324" s="1385">
        <v>4405.95</v>
      </c>
      <c r="E324" s="1385">
        <v>1.0110896528780242</v>
      </c>
      <c r="F324" s="1385">
        <v>40.752829238150191</v>
      </c>
      <c r="K324" s="1465">
        <v>42381</v>
      </c>
      <c r="L324" s="1466" t="s">
        <v>2127</v>
      </c>
      <c r="M324" s="1467">
        <v>5.2531000000000001E-2</v>
      </c>
      <c r="N324" s="1468">
        <v>1.1171340550360784</v>
      </c>
      <c r="O324" s="1468">
        <v>1.1171340550360784</v>
      </c>
    </row>
    <row r="325" spans="2:15">
      <c r="B325" s="1384">
        <v>42309</v>
      </c>
      <c r="C325" s="1385">
        <v>614.05100000000004</v>
      </c>
      <c r="D325" s="1385">
        <v>4450.45</v>
      </c>
      <c r="E325" s="1385">
        <v>1.0105587962367735</v>
      </c>
      <c r="F325" s="1385">
        <v>41.183130058147846</v>
      </c>
      <c r="K325" s="1465">
        <v>42382</v>
      </c>
      <c r="L325" s="1466" t="s">
        <v>2127</v>
      </c>
      <c r="M325" s="1467">
        <v>5.2531000000000001E-2</v>
      </c>
      <c r="N325" s="1468">
        <v>1.1177208967265295</v>
      </c>
      <c r="O325" s="1468">
        <v>1.1177208967265295</v>
      </c>
    </row>
    <row r="326" spans="2:15">
      <c r="B326" s="1384">
        <v>42339</v>
      </c>
      <c r="C326" s="1385">
        <v>617.04399999999998</v>
      </c>
      <c r="D326" s="1385">
        <v>4493.17</v>
      </c>
      <c r="E326" s="1385">
        <v>1.0116207883835777</v>
      </c>
      <c r="F326" s="1385">
        <v>41.66171049752694</v>
      </c>
      <c r="K326" s="1465">
        <v>42383</v>
      </c>
      <c r="L326" s="1466" t="s">
        <v>2127</v>
      </c>
      <c r="M326" s="1467">
        <v>5.2531000000000001E-2</v>
      </c>
      <c r="N326" s="1468">
        <v>1.1183080466907889</v>
      </c>
      <c r="O326" s="1468">
        <v>1.1183080466907889</v>
      </c>
    </row>
    <row r="327" spans="2:15">
      <c r="B327" s="1384">
        <v>42370</v>
      </c>
      <c r="C327" s="1385">
        <v>624.05999999999995</v>
      </c>
      <c r="D327" s="1385">
        <v>4550.2299999999996</v>
      </c>
      <c r="E327" s="1385">
        <v>1.0105587962367735</v>
      </c>
      <c r="F327" s="1385">
        <v>42.101608009545771</v>
      </c>
      <c r="K327" s="1465">
        <v>42384</v>
      </c>
      <c r="L327" s="1466" t="s">
        <v>2127</v>
      </c>
      <c r="M327" s="1467">
        <v>5.2531000000000001E-2</v>
      </c>
      <c r="N327" s="1468">
        <v>1.118895505090796</v>
      </c>
      <c r="O327" s="1468">
        <v>1.118895505090796</v>
      </c>
    </row>
    <row r="328" spans="2:15">
      <c r="B328" s="1384">
        <v>42401</v>
      </c>
      <c r="C328" s="1385">
        <v>632.11400000000003</v>
      </c>
      <c r="D328" s="1385">
        <v>4591.18</v>
      </c>
      <c r="E328" s="1385">
        <v>1.0100282183134115</v>
      </c>
      <c r="F328" s="1385">
        <v>42.523812126011173</v>
      </c>
      <c r="K328" s="1465">
        <v>42385</v>
      </c>
      <c r="L328" s="1466"/>
      <c r="M328" s="1467">
        <v>0</v>
      </c>
      <c r="N328" s="1468">
        <v>1.118895505090796</v>
      </c>
      <c r="O328" s="1468">
        <v>1.118895505090796</v>
      </c>
    </row>
    <row r="329" spans="2:15">
      <c r="B329" s="1384">
        <v>42430</v>
      </c>
      <c r="C329" s="1385">
        <v>635.34900000000005</v>
      </c>
      <c r="D329" s="1385">
        <v>4610.92</v>
      </c>
      <c r="E329" s="1385">
        <v>1.0116207883835779</v>
      </c>
      <c r="F329" s="1385">
        <v>43.017972347990572</v>
      </c>
      <c r="K329" s="1465">
        <v>42386</v>
      </c>
      <c r="L329" s="1466"/>
      <c r="M329" s="1467">
        <v>0</v>
      </c>
      <c r="N329" s="1468">
        <v>1.118895505090796</v>
      </c>
      <c r="O329" s="1468">
        <v>1.118895505090796</v>
      </c>
    </row>
    <row r="330" spans="2:15">
      <c r="B330" s="1384">
        <v>42461</v>
      </c>
      <c r="C330" s="1385">
        <v>637.43399999999997</v>
      </c>
      <c r="D330" s="1385">
        <v>4639.05</v>
      </c>
      <c r="E330" s="1385">
        <v>1.0105587962367735</v>
      </c>
      <c r="F330" s="1385">
        <v>43.472190352532159</v>
      </c>
      <c r="K330" s="1465">
        <v>42387</v>
      </c>
      <c r="L330" s="1466" t="s">
        <v>2127</v>
      </c>
      <c r="M330" s="1467">
        <v>5.2531000000000001E-2</v>
      </c>
      <c r="N330" s="1468">
        <v>1.1194832720885752</v>
      </c>
      <c r="O330" s="1468">
        <v>1.1194832720885752</v>
      </c>
    </row>
    <row r="331" spans="2:15">
      <c r="B331" s="1384">
        <v>42491</v>
      </c>
      <c r="C331" s="1385">
        <v>642.65099999999995</v>
      </c>
      <c r="D331" s="1385">
        <v>4675.2299999999996</v>
      </c>
      <c r="E331" s="1385">
        <v>1.0110896528780244</v>
      </c>
      <c r="F331" s="1385">
        <v>43.954281853389141</v>
      </c>
      <c r="K331" s="1465">
        <v>42388</v>
      </c>
      <c r="L331" s="1466" t="s">
        <v>2127</v>
      </c>
      <c r="M331" s="1467">
        <v>5.2531000000000001E-2</v>
      </c>
      <c r="N331" s="1468">
        <v>1.1200713478462361</v>
      </c>
      <c r="O331" s="1468">
        <v>1.1200713478462361</v>
      </c>
    </row>
    <row r="332" spans="2:15">
      <c r="B332" s="1384">
        <v>42522</v>
      </c>
      <c r="C332" s="1385">
        <v>653.49599999999998</v>
      </c>
      <c r="D332" s="1385">
        <v>4691.59</v>
      </c>
      <c r="E332" s="1385">
        <v>1.0116207883835777</v>
      </c>
      <c r="F332" s="1385">
        <v>44.465065261359506</v>
      </c>
      <c r="K332" s="1465">
        <v>42389</v>
      </c>
      <c r="L332" s="1466" t="s">
        <v>2127</v>
      </c>
      <c r="M332" s="1467">
        <v>5.2531000000000001E-2</v>
      </c>
      <c r="N332" s="1468">
        <v>1.1206597325259733</v>
      </c>
      <c r="O332" s="1468">
        <v>1.1206597325259733</v>
      </c>
    </row>
    <row r="333" spans="2:15">
      <c r="B333" s="1384">
        <v>42552</v>
      </c>
      <c r="C333" s="1385">
        <v>654.64099999999996</v>
      </c>
      <c r="D333" s="1385">
        <v>4715.99</v>
      </c>
      <c r="E333" s="1385">
        <v>1.0110896528780242</v>
      </c>
      <c r="F333" s="1385">
        <v>44.958167400306678</v>
      </c>
      <c r="K333" s="1465">
        <v>42390</v>
      </c>
      <c r="L333" s="1466" t="s">
        <v>2127</v>
      </c>
      <c r="M333" s="1467">
        <v>5.2531000000000001E-2</v>
      </c>
      <c r="N333" s="1468">
        <v>1.1212484262900666</v>
      </c>
      <c r="O333" s="1468">
        <v>1.1212484262900666</v>
      </c>
    </row>
    <row r="334" spans="2:15">
      <c r="B334" s="1384">
        <v>42583</v>
      </c>
      <c r="C334" s="1385">
        <v>655.60199999999998</v>
      </c>
      <c r="D334" s="1385">
        <v>4736.74</v>
      </c>
      <c r="E334" s="1385">
        <v>1.0121522028999232</v>
      </c>
      <c r="F334" s="1385">
        <v>45.504508172563916</v>
      </c>
      <c r="K334" s="1465">
        <v>42391</v>
      </c>
      <c r="L334" s="1466" t="s">
        <v>2127</v>
      </c>
      <c r="M334" s="1467">
        <v>5.2531000000000001E-2</v>
      </c>
      <c r="N334" s="1468">
        <v>1.121837429300881</v>
      </c>
      <c r="O334" s="1468">
        <v>1.121837429300881</v>
      </c>
    </row>
    <row r="335" spans="2:15">
      <c r="B335" s="1384">
        <v>42614</v>
      </c>
      <c r="C335" s="1385">
        <v>656.89400000000001</v>
      </c>
      <c r="D335" s="1385">
        <v>4740.53</v>
      </c>
      <c r="E335" s="1385">
        <v>1.0110896528780247</v>
      </c>
      <c r="F335" s="1385">
        <v>46.009137372582884</v>
      </c>
      <c r="K335" s="1465">
        <v>42392</v>
      </c>
      <c r="L335" s="1466"/>
      <c r="M335" s="1467">
        <v>0</v>
      </c>
      <c r="N335" s="1468">
        <v>1.121837429300881</v>
      </c>
      <c r="O335" s="1468">
        <v>1.121837429300881</v>
      </c>
    </row>
    <row r="336" spans="2:15">
      <c r="B336" s="1384">
        <v>42644</v>
      </c>
      <c r="C336" s="1385">
        <v>657.92700000000002</v>
      </c>
      <c r="D336" s="1385">
        <v>4752.8599999999997</v>
      </c>
      <c r="E336" s="1385">
        <v>1.0104884196148551</v>
      </c>
      <c r="F336" s="1385">
        <v>46.491700511464046</v>
      </c>
      <c r="K336" s="1465">
        <v>42393</v>
      </c>
      <c r="L336" s="1466"/>
      <c r="M336" s="1467">
        <v>0</v>
      </c>
      <c r="N336" s="1468">
        <v>1.121837429300881</v>
      </c>
      <c r="O336" s="1468">
        <v>1.121837429300881</v>
      </c>
    </row>
    <row r="337" spans="2:15">
      <c r="B337" s="1384">
        <v>42675</v>
      </c>
      <c r="C337" s="1385">
        <v>657.75199999999995</v>
      </c>
      <c r="D337" s="1385">
        <v>4761.42</v>
      </c>
      <c r="E337" s="1385">
        <v>1.0103828638714687</v>
      </c>
      <c r="F337" s="1385">
        <v>46.974417509027667</v>
      </c>
      <c r="K337" s="1465">
        <v>42394</v>
      </c>
      <c r="L337" s="1466" t="s">
        <v>2127</v>
      </c>
      <c r="M337" s="1467">
        <v>5.2531000000000001E-2</v>
      </c>
      <c r="N337" s="1468">
        <v>1.1224267417208671</v>
      </c>
      <c r="O337" s="1468">
        <v>1.1224267417208671</v>
      </c>
    </row>
    <row r="338" spans="2:15">
      <c r="B338" s="1384">
        <v>42705</v>
      </c>
      <c r="C338" s="1385">
        <v>661.30399999999997</v>
      </c>
      <c r="D338" s="1385">
        <v>4775.7</v>
      </c>
      <c r="E338" s="1385">
        <v>1.0112331468569866</v>
      </c>
      <c r="F338" s="1385">
        <v>47.502088039427981</v>
      </c>
      <c r="K338" s="1465">
        <v>42395</v>
      </c>
      <c r="L338" s="1466" t="s">
        <v>2127</v>
      </c>
      <c r="M338" s="1467">
        <v>5.2531000000000001E-2</v>
      </c>
      <c r="N338" s="1468">
        <v>1.1230163637125605</v>
      </c>
      <c r="O338" s="1468">
        <v>1.1230163637125605</v>
      </c>
    </row>
    <row r="339" spans="2:15">
      <c r="B339" s="1384">
        <v>42736</v>
      </c>
      <c r="C339" s="1385">
        <v>665.54200000000003</v>
      </c>
      <c r="D339" s="1385">
        <v>4793.8500000000004</v>
      </c>
      <c r="E339" s="1385">
        <v>1.0108612048503447</v>
      </c>
      <c r="F339" s="1385">
        <v>48.018017948443315</v>
      </c>
      <c r="K339" s="1465">
        <v>42396</v>
      </c>
      <c r="L339" s="1466" t="s">
        <v>2127</v>
      </c>
      <c r="M339" s="1467">
        <v>5.2531000000000001E-2</v>
      </c>
      <c r="N339" s="1468">
        <v>1.1236062954385824</v>
      </c>
      <c r="O339" s="1468">
        <v>1.1236062954385824</v>
      </c>
    </row>
    <row r="340" spans="2:15">
      <c r="B340" s="1384">
        <v>42767</v>
      </c>
      <c r="C340" s="1385">
        <v>666.09900000000005</v>
      </c>
      <c r="D340" s="1385">
        <v>4809.67</v>
      </c>
      <c r="E340" s="1385">
        <v>1.0086508422083289</v>
      </c>
      <c r="F340" s="1385">
        <v>48.433414244872004</v>
      </c>
      <c r="K340" s="1465">
        <v>42397</v>
      </c>
      <c r="L340" s="1466" t="s">
        <v>2127</v>
      </c>
      <c r="M340" s="1467">
        <v>5.2531000000000001E-2</v>
      </c>
      <c r="N340" s="1468">
        <v>1.1241965370616391</v>
      </c>
      <c r="O340" s="1468">
        <v>1.1241965370616391</v>
      </c>
    </row>
    <row r="341" spans="2:15">
      <c r="B341" s="1384">
        <v>42795</v>
      </c>
      <c r="C341" s="1385">
        <v>666.197</v>
      </c>
      <c r="D341" s="1385">
        <v>4821.6899999999996</v>
      </c>
      <c r="E341" s="1385">
        <v>1.0105205646045978</v>
      </c>
      <c r="F341" s="1385">
        <v>48.94296110845643</v>
      </c>
      <c r="K341" s="1465">
        <v>42398</v>
      </c>
      <c r="L341" s="1466" t="s">
        <v>2127</v>
      </c>
      <c r="M341" s="1467">
        <v>5.2531000000000001E-2</v>
      </c>
      <c r="N341" s="1468">
        <v>1.124787088744523</v>
      </c>
      <c r="O341" s="1468">
        <v>1.124787088744523</v>
      </c>
    </row>
    <row r="342" spans="2:15">
      <c r="B342" s="1384">
        <v>42826</v>
      </c>
      <c r="C342" s="1385">
        <v>658.89800000000002</v>
      </c>
      <c r="D342" s="1385">
        <v>4828.4399999999996</v>
      </c>
      <c r="E342" s="1385">
        <v>1.0078658059100756</v>
      </c>
      <c r="F342" s="1385">
        <v>49.327936941199923</v>
      </c>
      <c r="K342" s="1465">
        <v>42399</v>
      </c>
      <c r="L342" s="1466"/>
      <c r="M342" s="1467">
        <v>0</v>
      </c>
      <c r="N342" s="1468">
        <v>1.124787088744523</v>
      </c>
      <c r="O342" s="1468">
        <v>1.124787088744523</v>
      </c>
    </row>
    <row r="343" spans="2:15">
      <c r="B343" s="1384">
        <v>42856</v>
      </c>
      <c r="C343" s="1385">
        <v>652.75800000000004</v>
      </c>
      <c r="D343" s="1385">
        <v>4843.41</v>
      </c>
      <c r="E343" s="1385">
        <v>1.0092713189779878</v>
      </c>
      <c r="F343" s="1385">
        <v>49.785271979107854</v>
      </c>
      <c r="K343" s="1465">
        <v>42400</v>
      </c>
      <c r="L343" s="1466"/>
      <c r="M343" s="1467">
        <v>0</v>
      </c>
      <c r="N343" s="1468">
        <v>1.124787088744523</v>
      </c>
      <c r="O343" s="1468">
        <v>1.124787088744523</v>
      </c>
    </row>
    <row r="344" spans="2:15">
      <c r="B344" s="1384">
        <v>42887</v>
      </c>
      <c r="C344" s="1385">
        <v>648.40899999999999</v>
      </c>
      <c r="D344" s="1385">
        <v>4832.2700000000004</v>
      </c>
      <c r="E344" s="1385">
        <v>1.0080886926571575</v>
      </c>
      <c r="F344" s="1385">
        <v>50.187969742999854</v>
      </c>
      <c r="K344" s="1465">
        <v>42401</v>
      </c>
      <c r="L344" s="1466" t="s">
        <v>2127</v>
      </c>
      <c r="M344" s="1467">
        <v>5.2531000000000001E-2</v>
      </c>
      <c r="N344" s="1468">
        <v>1.1253779506501114</v>
      </c>
      <c r="O344" s="1468">
        <v>1.1253779506501114</v>
      </c>
    </row>
    <row r="345" spans="2:15">
      <c r="B345" s="1384">
        <v>42917</v>
      </c>
      <c r="C345" s="1385">
        <v>643.76599999999996</v>
      </c>
      <c r="D345" s="1385">
        <v>4843.87</v>
      </c>
      <c r="E345" s="1385">
        <v>1.0079792299470567</v>
      </c>
      <c r="F345" s="1385">
        <v>50.588431094155176</v>
      </c>
      <c r="K345" s="1465">
        <v>42402</v>
      </c>
      <c r="L345" s="1466" t="s">
        <v>2127</v>
      </c>
      <c r="M345" s="1467">
        <v>5.2531000000000001E-2</v>
      </c>
      <c r="N345" s="1468">
        <v>1.1259691229413673</v>
      </c>
      <c r="O345" s="1468">
        <v>1.1259691229413673</v>
      </c>
    </row>
    <row r="346" spans="2:15">
      <c r="B346" s="1384">
        <v>42948</v>
      </c>
      <c r="C346" s="1385">
        <v>644.38300000000004</v>
      </c>
      <c r="D346" s="1385">
        <v>4853.07</v>
      </c>
      <c r="E346" s="1385">
        <v>1.0080228940119034</v>
      </c>
      <c r="F346" s="1385">
        <v>50.994296715052059</v>
      </c>
      <c r="K346" s="1465">
        <v>42403</v>
      </c>
      <c r="L346" s="1466" t="s">
        <v>2127</v>
      </c>
      <c r="M346" s="1467">
        <v>5.2531000000000001E-2</v>
      </c>
      <c r="N346" s="1468">
        <v>1.1265606057813395</v>
      </c>
      <c r="O346" s="1468">
        <v>1.1265606057813395</v>
      </c>
    </row>
    <row r="347" spans="2:15">
      <c r="B347" s="1384">
        <v>42979</v>
      </c>
      <c r="C347" s="1385">
        <v>647.4</v>
      </c>
      <c r="D347" s="1385">
        <v>4860.83</v>
      </c>
      <c r="E347" s="1385">
        <v>1.0063846003708505</v>
      </c>
      <c r="F347" s="1385">
        <v>51.319874920770239</v>
      </c>
      <c r="K347" s="1465">
        <v>42404</v>
      </c>
      <c r="L347" s="1466" t="s">
        <v>2127</v>
      </c>
      <c r="M347" s="1467">
        <v>5.2531000000000001E-2</v>
      </c>
      <c r="N347" s="1468">
        <v>1.1271523993331625</v>
      </c>
      <c r="O347" s="1468">
        <v>1.1271523993331625</v>
      </c>
    </row>
    <row r="348" spans="2:15">
      <c r="B348" s="1384">
        <v>43009</v>
      </c>
      <c r="C348" s="1385">
        <v>648.67200000000003</v>
      </c>
      <c r="D348" s="1385">
        <v>4881.25</v>
      </c>
      <c r="E348" s="1385">
        <v>1.0064393014601032</v>
      </c>
      <c r="F348" s="1385">
        <v>51.650339066279869</v>
      </c>
      <c r="K348" s="1465">
        <v>42405</v>
      </c>
      <c r="L348" s="1466" t="s">
        <v>2127</v>
      </c>
      <c r="M348" s="1467">
        <v>5.2531000000000001E-2</v>
      </c>
      <c r="N348" s="1468">
        <v>1.1277445037600562</v>
      </c>
      <c r="O348" s="1468">
        <v>1.1277445037600562</v>
      </c>
    </row>
    <row r="349" spans="2:15">
      <c r="B349" s="1384">
        <v>43040</v>
      </c>
      <c r="C349" s="1385">
        <v>652.07299999999998</v>
      </c>
      <c r="D349" s="1385">
        <v>4894.92</v>
      </c>
      <c r="E349" s="1385">
        <v>1.0056818783789492</v>
      </c>
      <c r="F349" s="1385">
        <v>51.943810011085958</v>
      </c>
      <c r="K349" s="1465">
        <v>42406</v>
      </c>
      <c r="L349" s="1466"/>
      <c r="M349" s="1467">
        <v>0</v>
      </c>
      <c r="N349" s="1468">
        <v>1.1277445037600562</v>
      </c>
      <c r="O349" s="1468">
        <v>1.1277445037600562</v>
      </c>
    </row>
    <row r="350" spans="2:15">
      <c r="B350" s="1384">
        <v>43070</v>
      </c>
      <c r="C350" s="1385">
        <v>657.85900000000004</v>
      </c>
      <c r="D350" s="1385">
        <v>4916.46</v>
      </c>
      <c r="E350" s="1385">
        <v>1.0053840004998948</v>
      </c>
      <c r="F350" s="1385">
        <v>52.223475510152085</v>
      </c>
      <c r="K350" s="1465">
        <v>42407</v>
      </c>
      <c r="L350" s="1466"/>
      <c r="M350" s="1467">
        <v>0</v>
      </c>
      <c r="N350" s="1468">
        <v>1.1277445037600562</v>
      </c>
      <c r="O350" s="1468">
        <v>1.1277445037600562</v>
      </c>
    </row>
    <row r="351" spans="2:15">
      <c r="B351" s="1384">
        <v>43101</v>
      </c>
      <c r="C351" s="1385">
        <v>662.82600000000002</v>
      </c>
      <c r="D351" s="1385">
        <v>4930.72</v>
      </c>
      <c r="E351" s="1385">
        <v>1.0058420473548675</v>
      </c>
      <c r="F351" s="1385">
        <v>52.528567527118156</v>
      </c>
      <c r="K351" s="1465">
        <v>42408</v>
      </c>
      <c r="L351" s="1466"/>
      <c r="M351" s="1467">
        <v>0</v>
      </c>
      <c r="N351" s="1468">
        <v>1.1277445037600562</v>
      </c>
      <c r="O351" s="1468">
        <v>1.1277445037600562</v>
      </c>
    </row>
    <row r="352" spans="2:15">
      <c r="B352" s="1384">
        <v>43132</v>
      </c>
      <c r="C352" s="1385">
        <v>663.31100000000004</v>
      </c>
      <c r="D352" s="1385">
        <v>4946.5</v>
      </c>
      <c r="E352" s="1385">
        <v>1.0046560161193037</v>
      </c>
      <c r="F352" s="1385">
        <v>52.773141384248348</v>
      </c>
      <c r="K352" s="1465">
        <v>42409</v>
      </c>
      <c r="L352" s="1466"/>
      <c r="M352" s="1467">
        <v>0</v>
      </c>
      <c r="N352" s="1468">
        <v>1.1277445037600562</v>
      </c>
      <c r="O352" s="1468">
        <v>1.1277445037600562</v>
      </c>
    </row>
    <row r="353" spans="2:15">
      <c r="B353" s="1384">
        <v>43160</v>
      </c>
      <c r="C353" s="1385">
        <v>667.524</v>
      </c>
      <c r="D353" s="1385">
        <v>4950.95</v>
      </c>
      <c r="E353" s="1385">
        <v>1.0053234480536677</v>
      </c>
      <c r="F353" s="1385">
        <v>53.054076461036253</v>
      </c>
      <c r="K353" s="1465">
        <v>42410</v>
      </c>
      <c r="L353" s="1466" t="s">
        <v>2127</v>
      </c>
      <c r="M353" s="1467">
        <v>5.2531000000000001E-2</v>
      </c>
      <c r="N353" s="1468">
        <v>1.1283369192253263</v>
      </c>
      <c r="O353" s="1468">
        <v>1.1283369192253263</v>
      </c>
    </row>
    <row r="354" spans="2:15">
      <c r="B354" s="1384">
        <v>43191</v>
      </c>
      <c r="C354" s="1385">
        <v>671.327</v>
      </c>
      <c r="D354" s="1385">
        <v>4961.84</v>
      </c>
      <c r="E354" s="1385">
        <v>1.0051829489023658</v>
      </c>
      <c r="F354" s="1385">
        <v>53.329053028396011</v>
      </c>
      <c r="K354" s="1465">
        <v>42411</v>
      </c>
      <c r="L354" s="1466" t="s">
        <v>2127</v>
      </c>
      <c r="M354" s="1467">
        <v>5.2531000000000001E-2</v>
      </c>
      <c r="N354" s="1468">
        <v>1.1289296458923646</v>
      </c>
      <c r="O354" s="1468">
        <v>1.1289296458923646</v>
      </c>
    </row>
    <row r="355" spans="2:15">
      <c r="B355" s="1384">
        <v>43221</v>
      </c>
      <c r="C355" s="1385">
        <v>680.57899999999995</v>
      </c>
      <c r="D355" s="1385">
        <v>4981.6899999999996</v>
      </c>
      <c r="E355" s="1385">
        <v>1.0051829489023656</v>
      </c>
      <c r="F355" s="1385">
        <v>53.605454785253734</v>
      </c>
      <c r="G355" s="491"/>
      <c r="K355" s="1465">
        <v>42412</v>
      </c>
      <c r="L355" s="1466" t="s">
        <v>2127</v>
      </c>
      <c r="M355" s="1467">
        <v>5.2531000000000001E-2</v>
      </c>
      <c r="N355" s="1468">
        <v>1.1295226839246482</v>
      </c>
      <c r="O355" s="1468">
        <v>1.1295226839246482</v>
      </c>
    </row>
    <row r="356" spans="2:15">
      <c r="B356" s="1384">
        <v>43252</v>
      </c>
      <c r="C356" s="1385">
        <v>693.28700000000003</v>
      </c>
      <c r="D356" s="1385">
        <v>5044.46</v>
      </c>
      <c r="E356" s="1385">
        <v>1.0051829489023654</v>
      </c>
      <c r="F356" s="1385">
        <v>53.88328911829376</v>
      </c>
      <c r="G356" s="10"/>
      <c r="I356" s="10"/>
      <c r="K356" s="1465">
        <v>42413</v>
      </c>
      <c r="L356" s="1466"/>
      <c r="M356" s="1467">
        <v>0</v>
      </c>
      <c r="N356" s="1468">
        <v>1.1295226839246482</v>
      </c>
      <c r="O356" s="1468">
        <v>1.1295226839246482</v>
      </c>
    </row>
    <row r="357" spans="2:15">
      <c r="B357" s="1384">
        <v>43282</v>
      </c>
      <c r="C357" s="1385">
        <v>696.8</v>
      </c>
      <c r="D357" s="1385">
        <v>5061.1099999999997</v>
      </c>
      <c r="E357" s="1385">
        <v>1.0054304249443857</v>
      </c>
      <c r="F357" s="1385">
        <v>54.175898275607288</v>
      </c>
      <c r="G357" s="10"/>
      <c r="K357" s="1465">
        <v>42414</v>
      </c>
      <c r="L357" s="1466"/>
      <c r="M357" s="1467">
        <v>0</v>
      </c>
      <c r="N357" s="1468">
        <v>1.1295226839246482</v>
      </c>
      <c r="O357" s="1468">
        <v>1.1295226839246482</v>
      </c>
    </row>
    <row r="358" spans="2:15">
      <c r="B358" s="1384">
        <v>43313</v>
      </c>
      <c r="C358" s="1385">
        <v>701.67700000000002</v>
      </c>
      <c r="D358" s="1385">
        <v>5056.5600000000004</v>
      </c>
      <c r="E358" s="1385">
        <v>1.0056779619150069</v>
      </c>
      <c r="F358" s="1385">
        <v>54.483506962727475</v>
      </c>
      <c r="K358" s="1465">
        <v>42415</v>
      </c>
      <c r="L358" s="1466" t="s">
        <v>2127</v>
      </c>
      <c r="M358" s="1467">
        <v>5.2531000000000001E-2</v>
      </c>
      <c r="N358" s="1468">
        <v>1.1301160334857405</v>
      </c>
      <c r="O358" s="1468">
        <v>1.1301160334857405</v>
      </c>
    </row>
    <row r="359" spans="2:15">
      <c r="B359" s="1384">
        <v>43344</v>
      </c>
      <c r="C359" s="1385">
        <v>712.37300000000005</v>
      </c>
      <c r="D359" s="1385">
        <v>5080.83</v>
      </c>
      <c r="E359" s="1385">
        <v>1.0046881795441467</v>
      </c>
      <c r="F359" s="1385">
        <v>54.738935425563504</v>
      </c>
      <c r="K359" s="1465">
        <v>42416</v>
      </c>
      <c r="L359" s="1466" t="s">
        <v>2127</v>
      </c>
      <c r="M359" s="1467">
        <v>5.2531000000000001E-2</v>
      </c>
      <c r="N359" s="1468">
        <v>1.1307096947392909</v>
      </c>
      <c r="O359" s="1468">
        <v>1.1307096947392909</v>
      </c>
    </row>
    <row r="360" spans="2:15">
      <c r="B360" s="1384">
        <v>43374</v>
      </c>
      <c r="C360" s="1385">
        <v>718.68399999999997</v>
      </c>
      <c r="D360" s="1385">
        <v>5103.6899999999996</v>
      </c>
      <c r="E360" s="1385">
        <v>1.0054304249443855</v>
      </c>
      <c r="F360" s="1385">
        <v>55.036191105927593</v>
      </c>
      <c r="K360" s="1465">
        <v>42417</v>
      </c>
      <c r="L360" s="1466" t="s">
        <v>2127</v>
      </c>
      <c r="M360" s="1467">
        <v>5.2531000000000001E-2</v>
      </c>
      <c r="N360" s="1468">
        <v>1.1313036678490345</v>
      </c>
      <c r="O360" s="1468">
        <v>1.1313036678490345</v>
      </c>
    </row>
    <row r="361" spans="2:15">
      <c r="B361" s="1384">
        <v>43405</v>
      </c>
      <c r="C361" s="1385">
        <v>715.16600000000005</v>
      </c>
      <c r="D361" s="1385">
        <v>5092.97</v>
      </c>
      <c r="E361" s="1385">
        <v>1.0049355337739507</v>
      </c>
      <c r="F361" s="1385">
        <v>55.307824085920508</v>
      </c>
      <c r="K361" s="1465">
        <v>42418</v>
      </c>
      <c r="L361" s="1466" t="s">
        <v>2127</v>
      </c>
      <c r="M361" s="1467">
        <v>5.2531000000000001E-2</v>
      </c>
      <c r="N361" s="1468">
        <v>1.1318979529787923</v>
      </c>
      <c r="O361" s="1468">
        <v>1.1318979529787923</v>
      </c>
    </row>
    <row r="362" spans="2:15">
      <c r="B362" s="1384">
        <v>43435</v>
      </c>
      <c r="C362" s="1385">
        <v>707.44100000000003</v>
      </c>
      <c r="D362" s="1385">
        <v>5100.6099999999997</v>
      </c>
      <c r="E362" s="1385">
        <v>1.0049355337739507</v>
      </c>
      <c r="F362" s="1385">
        <v>55.580797719660296</v>
      </c>
      <c r="K362" s="1465">
        <v>42419</v>
      </c>
      <c r="L362" s="1466" t="s">
        <v>2127</v>
      </c>
      <c r="M362" s="1467">
        <v>5.2531000000000001E-2</v>
      </c>
      <c r="N362" s="1468">
        <v>1.1324925502924716</v>
      </c>
      <c r="O362" s="1468">
        <v>1.1324925502924716</v>
      </c>
    </row>
    <row r="363" spans="2:15">
      <c r="B363" s="1384">
        <v>43466</v>
      </c>
      <c r="C363" s="1385">
        <v>707.48800000000006</v>
      </c>
      <c r="D363" s="1385">
        <v>5116.93</v>
      </c>
      <c r="E363" s="1385">
        <v>1.0054304249443855</v>
      </c>
      <c r="F363" s="1385">
        <v>55.882625070025988</v>
      </c>
      <c r="K363" s="1465">
        <v>42420</v>
      </c>
      <c r="L363" s="1466"/>
      <c r="M363" s="1467">
        <v>0</v>
      </c>
      <c r="N363" s="1468">
        <v>1.1324925502924716</v>
      </c>
      <c r="O363" s="1468">
        <v>1.1324925502924716</v>
      </c>
    </row>
    <row r="364" spans="2:15">
      <c r="B364" s="1384">
        <v>43497</v>
      </c>
      <c r="C364" s="1385">
        <v>713.74699999999996</v>
      </c>
      <c r="D364" s="1385">
        <v>5138.93</v>
      </c>
      <c r="E364" s="1385">
        <v>1.0049355337739507</v>
      </c>
      <c r="F364" s="1385">
        <v>56.158435653436129</v>
      </c>
      <c r="K364" s="1465">
        <v>42421</v>
      </c>
      <c r="L364" s="1466"/>
      <c r="M364" s="1467">
        <v>0</v>
      </c>
      <c r="N364" s="1468">
        <v>1.1324925502924716</v>
      </c>
      <c r="O364" s="1468">
        <v>1.1324925502924716</v>
      </c>
    </row>
    <row r="365" spans="2:15">
      <c r="B365" s="1384">
        <v>43525</v>
      </c>
      <c r="C365" s="1385">
        <v>722.70699999999999</v>
      </c>
      <c r="D365" s="1385">
        <v>5177.47</v>
      </c>
      <c r="E365" s="1385">
        <v>1.0046881795441467</v>
      </c>
      <c r="F365" s="1385">
        <v>56.421716482697846</v>
      </c>
      <c r="K365" s="1465">
        <v>42422</v>
      </c>
      <c r="L365" s="1466" t="s">
        <v>2127</v>
      </c>
      <c r="M365" s="1467">
        <v>5.2531000000000001E-2</v>
      </c>
      <c r="N365" s="1468">
        <v>1.1330874599540657</v>
      </c>
      <c r="O365" s="1468">
        <v>1.1330874599540657</v>
      </c>
    </row>
    <row r="366" spans="2:15">
      <c r="B366" s="1384">
        <v>43556</v>
      </c>
      <c r="C366" s="1385">
        <v>729.346</v>
      </c>
      <c r="D366" s="1385">
        <v>5206.9799999999996</v>
      </c>
      <c r="E366" s="1385">
        <v>1.0051829489023654</v>
      </c>
      <c r="F366" s="1385">
        <v>56.714147356211413</v>
      </c>
      <c r="K366" s="1465">
        <v>42423</v>
      </c>
      <c r="L366" s="1466" t="s">
        <v>2127</v>
      </c>
      <c r="M366" s="1467">
        <v>5.2531000000000001E-2</v>
      </c>
      <c r="N366" s="1468">
        <v>1.1336826821276542</v>
      </c>
      <c r="O366" s="1468">
        <v>1.1336826821276542</v>
      </c>
    </row>
    <row r="367" spans="2:15">
      <c r="B367" s="1384">
        <v>43586</v>
      </c>
      <c r="C367" s="1385">
        <v>732.59500000000003</v>
      </c>
      <c r="D367" s="1385">
        <v>5213.75</v>
      </c>
      <c r="E367" s="1385">
        <v>1.0054304249443855</v>
      </c>
      <c r="F367" s="1385">
        <v>57.022129276714139</v>
      </c>
      <c r="K367" s="1465">
        <v>42424</v>
      </c>
      <c r="L367" s="1466" t="s">
        <v>2127</v>
      </c>
      <c r="M367" s="1467">
        <v>5.2531000000000001E-2</v>
      </c>
      <c r="N367" s="1468">
        <v>1.1342782169774026</v>
      </c>
      <c r="O367" s="1468">
        <v>1.1342782169774026</v>
      </c>
    </row>
    <row r="368" spans="2:15">
      <c r="B368" s="1384">
        <v>43617</v>
      </c>
      <c r="C368" s="1385">
        <v>738.42100000000005</v>
      </c>
      <c r="D368" s="1385">
        <v>5214.2700000000004</v>
      </c>
      <c r="E368" s="1385">
        <v>1.0046881795441465</v>
      </c>
      <c r="F368" s="1385">
        <v>57.289459256752906</v>
      </c>
      <c r="K368" s="1465">
        <v>42425</v>
      </c>
      <c r="L368" s="1466" t="s">
        <v>2127</v>
      </c>
      <c r="M368" s="1467">
        <v>5.2531000000000001E-2</v>
      </c>
      <c r="N368" s="1468">
        <v>1.134874064667563</v>
      </c>
      <c r="O368" s="1468">
        <v>1.134874064667563</v>
      </c>
    </row>
    <row r="369" spans="2:15">
      <c r="B369" s="1384">
        <v>43647</v>
      </c>
      <c r="C369" s="1385">
        <v>741.346</v>
      </c>
      <c r="D369" s="1385">
        <v>5224.18</v>
      </c>
      <c r="E369" s="1385">
        <v>1.0056779619150069</v>
      </c>
      <c r="F369" s="1385">
        <v>57.61474662454409</v>
      </c>
      <c r="K369" s="1465">
        <v>42426</v>
      </c>
      <c r="L369" s="1466" t="s">
        <v>2127</v>
      </c>
      <c r="M369" s="1467">
        <v>5.2531000000000001E-2</v>
      </c>
      <c r="N369" s="1468">
        <v>1.1354702253624736</v>
      </c>
      <c r="O369" s="1468">
        <v>1.1354702253624736</v>
      </c>
    </row>
    <row r="370" spans="2:15">
      <c r="B370" s="1384">
        <v>43678</v>
      </c>
      <c r="C370" s="1385">
        <v>736.40200000000004</v>
      </c>
      <c r="D370" s="1385">
        <v>5229.93</v>
      </c>
      <c r="E370" s="1385">
        <v>1.0050171948996307</v>
      </c>
      <c r="F370" s="1385">
        <v>57.903811037452265</v>
      </c>
      <c r="K370" s="1465">
        <v>42427</v>
      </c>
      <c r="L370" s="1466"/>
      <c r="M370" s="1467">
        <v>0</v>
      </c>
      <c r="N370" s="1468">
        <v>1.1354702253624736</v>
      </c>
      <c r="O370" s="1468">
        <v>1.1354702253624736</v>
      </c>
    </row>
    <row r="371" spans="2:15">
      <c r="B371" s="1384">
        <v>43709</v>
      </c>
      <c r="C371" s="1385">
        <v>736.36199999999997</v>
      </c>
      <c r="D371" s="1385">
        <v>5227.84</v>
      </c>
      <c r="E371" s="1385">
        <v>1.0046375999081099</v>
      </c>
      <c r="F371" s="1385">
        <v>58.172345746198765</v>
      </c>
      <c r="K371" s="1465">
        <v>42428</v>
      </c>
      <c r="L371" s="1466"/>
      <c r="M371" s="1467">
        <v>0</v>
      </c>
      <c r="N371" s="1468">
        <v>1.1354702253624736</v>
      </c>
      <c r="O371" s="1468">
        <v>1.1354702253624736</v>
      </c>
    </row>
    <row r="372" spans="2:15">
      <c r="B372" s="1384">
        <v>43739</v>
      </c>
      <c r="C372" s="1385">
        <v>741.33299999999997</v>
      </c>
      <c r="D372" s="1385">
        <v>5233.07</v>
      </c>
      <c r="E372" s="1385">
        <v>1.0047926409835022</v>
      </c>
      <c r="F372" s="1385">
        <v>58.451144914528456</v>
      </c>
      <c r="K372" s="1465">
        <v>42429</v>
      </c>
      <c r="L372" s="1466" t="s">
        <v>2127</v>
      </c>
      <c r="M372" s="1467">
        <v>5.2531000000000001E-2</v>
      </c>
      <c r="N372" s="1468">
        <v>1.1360666992265587</v>
      </c>
      <c r="O372" s="1468">
        <v>1.1360666992265587</v>
      </c>
    </row>
    <row r="373" spans="2:15">
      <c r="B373" s="1384">
        <v>43770</v>
      </c>
      <c r="C373" s="1385">
        <v>743.55799999999999</v>
      </c>
      <c r="D373" s="1385">
        <v>5259.76</v>
      </c>
      <c r="E373" s="1385">
        <v>1.0038038559813272</v>
      </c>
      <c r="F373" s="1385">
        <v>58.673484651727009</v>
      </c>
      <c r="K373" s="1465">
        <v>42430</v>
      </c>
      <c r="L373" s="1466" t="s">
        <v>2127</v>
      </c>
      <c r="M373" s="1467">
        <v>5.2531000000000001E-2</v>
      </c>
      <c r="N373" s="1468">
        <v>1.1366634864243295</v>
      </c>
      <c r="O373" s="1468">
        <v>1.1366634864243295</v>
      </c>
    </row>
    <row r="374" spans="2:15">
      <c r="B374" s="1384">
        <v>43800</v>
      </c>
      <c r="C374" s="1385">
        <v>759.11199999999997</v>
      </c>
      <c r="D374" s="1385">
        <v>5320.25</v>
      </c>
      <c r="E374" s="1385">
        <v>1.0037470387078873</v>
      </c>
      <c r="F374" s="1385">
        <v>58.893336469843661</v>
      </c>
      <c r="K374" s="1465">
        <v>42431</v>
      </c>
      <c r="L374" s="1466" t="s">
        <v>2127</v>
      </c>
      <c r="M374" s="1467">
        <v>5.2531000000000001E-2</v>
      </c>
      <c r="N374" s="1468">
        <v>1.1372605871203831</v>
      </c>
      <c r="O374" s="1468">
        <v>1.1372605871203831</v>
      </c>
    </row>
    <row r="375" spans="2:15">
      <c r="B375" s="1384">
        <v>43831</v>
      </c>
      <c r="C375" s="1385">
        <v>762.73299999999995</v>
      </c>
      <c r="D375" s="1385">
        <v>5331.42</v>
      </c>
      <c r="E375" s="1385">
        <v>1.00376633367529</v>
      </c>
      <c r="F375" s="1385">
        <v>59.115148426240218</v>
      </c>
      <c r="K375" s="1465">
        <v>42432</v>
      </c>
      <c r="L375" s="1466" t="s">
        <v>2127</v>
      </c>
      <c r="M375" s="1467">
        <v>5.2531000000000001E-2</v>
      </c>
      <c r="N375" s="1468">
        <v>1.1378580014794033</v>
      </c>
      <c r="O375" s="1468">
        <v>1.1378580014794033</v>
      </c>
    </row>
    <row r="376" spans="2:15">
      <c r="B376" s="1384">
        <v>43862</v>
      </c>
      <c r="C376" s="1385">
        <v>762.423</v>
      </c>
      <c r="D376" s="1385">
        <v>5344.75</v>
      </c>
      <c r="E376" s="1385">
        <v>1.0029372863155552</v>
      </c>
      <c r="F376" s="1385">
        <v>59.288786542754629</v>
      </c>
      <c r="K376" s="1465">
        <v>42433</v>
      </c>
      <c r="L376" s="1466" t="s">
        <v>2127</v>
      </c>
      <c r="M376" s="1467">
        <v>5.2531000000000001E-2</v>
      </c>
      <c r="N376" s="1468">
        <v>1.1384557296661604</v>
      </c>
      <c r="O376" s="1468">
        <v>1.1384557296661604</v>
      </c>
    </row>
    <row r="377" spans="2:15">
      <c r="B377" s="1384">
        <v>43891</v>
      </c>
      <c r="C377" s="1385">
        <v>771.90800000000002</v>
      </c>
      <c r="D377" s="1385">
        <v>5348.49</v>
      </c>
      <c r="E377" s="1385">
        <v>1.0033836914846632</v>
      </c>
      <c r="F377" s="1385">
        <v>59.489401504915364</v>
      </c>
      <c r="K377" s="1465">
        <v>42434</v>
      </c>
      <c r="L377" s="1466"/>
      <c r="M377" s="1467">
        <v>0</v>
      </c>
      <c r="N377" s="1468">
        <v>1.1384557296661604</v>
      </c>
      <c r="O377" s="1468">
        <v>1.1384557296661604</v>
      </c>
    </row>
    <row r="378" spans="2:15">
      <c r="B378" s="1384">
        <v>43922</v>
      </c>
      <c r="C378" s="1385">
        <v>778.101</v>
      </c>
      <c r="D378" s="1385">
        <v>5331.91</v>
      </c>
      <c r="E378" s="1385">
        <v>1.0028492490278405</v>
      </c>
      <c r="F378" s="1385">
        <v>59.658901624320052</v>
      </c>
      <c r="K378" s="1465">
        <v>42435</v>
      </c>
      <c r="L378" s="1466"/>
      <c r="M378" s="1467">
        <v>0</v>
      </c>
      <c r="N378" s="1468">
        <v>1.1384557296661604</v>
      </c>
      <c r="O378" s="1468">
        <v>1.1384557296661604</v>
      </c>
    </row>
    <row r="379" spans="2:15">
      <c r="B379" s="1384">
        <v>43952</v>
      </c>
      <c r="C379" s="1385">
        <v>780.28</v>
      </c>
      <c r="D379" s="1385">
        <v>5311.65</v>
      </c>
      <c r="E379" s="1385">
        <v>1.0023580961930716</v>
      </c>
      <c r="F379" s="1385">
        <v>59.799583053123193</v>
      </c>
      <c r="K379" s="1465">
        <v>42436</v>
      </c>
      <c r="L379" s="1466" t="s">
        <v>2127</v>
      </c>
      <c r="M379" s="1467">
        <v>5.2531000000000001E-2</v>
      </c>
      <c r="N379" s="1468">
        <v>1.1390537718455114</v>
      </c>
      <c r="O379" s="1468">
        <v>1.1390537718455114</v>
      </c>
    </row>
    <row r="380" spans="2:15">
      <c r="B380" s="1384">
        <v>43983</v>
      </c>
      <c r="C380" s="1385">
        <v>792.42899999999997</v>
      </c>
      <c r="D380" s="1385">
        <v>5325.46</v>
      </c>
      <c r="E380" s="1385">
        <v>1.0021233217736718</v>
      </c>
      <c r="F380" s="1385">
        <v>59.926556809876388</v>
      </c>
      <c r="K380" s="1465">
        <v>42437</v>
      </c>
      <c r="L380" s="1466" t="s">
        <v>2127</v>
      </c>
      <c r="M380" s="1467">
        <v>5.2531000000000001E-2</v>
      </c>
      <c r="N380" s="1468">
        <v>1.1396521281823995</v>
      </c>
      <c r="O380" s="1468">
        <v>1.1396521281823995</v>
      </c>
    </row>
    <row r="381" spans="2:15">
      <c r="B381" s="1384">
        <v>44013</v>
      </c>
      <c r="C381" s="1385">
        <v>810.08299999999997</v>
      </c>
      <c r="D381" s="1385">
        <v>5344.63</v>
      </c>
      <c r="E381" s="1385">
        <v>1.0019434641302636</v>
      </c>
      <c r="F381" s="1385">
        <v>60.043021923486585</v>
      </c>
      <c r="K381" s="1465">
        <v>42438</v>
      </c>
      <c r="L381" s="1466" t="s">
        <v>2127</v>
      </c>
      <c r="M381" s="1467">
        <v>5.2531000000000001E-2</v>
      </c>
      <c r="N381" s="1468">
        <v>1.1402507988418549</v>
      </c>
      <c r="O381" s="1468">
        <v>1.1402507988418549</v>
      </c>
    </row>
    <row r="382" spans="2:15">
      <c r="B382" s="1384">
        <v>44044</v>
      </c>
      <c r="C382" s="1385">
        <v>832.31299999999999</v>
      </c>
      <c r="D382" s="1385">
        <v>5357.46</v>
      </c>
      <c r="E382" s="1385">
        <v>1.0015988959789295</v>
      </c>
      <c r="F382" s="1385">
        <v>60.13902446980282</v>
      </c>
      <c r="K382" s="1465">
        <v>42439</v>
      </c>
      <c r="L382" s="1466" t="s">
        <v>2127</v>
      </c>
      <c r="M382" s="1467">
        <v>5.2531000000000001E-2</v>
      </c>
      <c r="N382" s="1468">
        <v>1.1408497839889944</v>
      </c>
      <c r="O382" s="1468">
        <v>1.1408497839889944</v>
      </c>
    </row>
    <row r="383" spans="2:15">
      <c r="B383" s="1384">
        <v>44075</v>
      </c>
      <c r="C383" s="1385">
        <v>868.44200000000001</v>
      </c>
      <c r="D383" s="1385">
        <v>5391.75</v>
      </c>
      <c r="E383" s="1385">
        <v>1.0015696620595307</v>
      </c>
      <c r="F383" s="1385">
        <v>60.233422414810256</v>
      </c>
      <c r="K383" s="1465">
        <v>42440</v>
      </c>
      <c r="L383" s="1466" t="s">
        <v>2127</v>
      </c>
      <c r="M383" s="1467">
        <v>5.2531000000000001E-2</v>
      </c>
      <c r="N383" s="1468">
        <v>1.1414490837890217</v>
      </c>
      <c r="O383" s="1468">
        <v>1.1414490837890217</v>
      </c>
    </row>
    <row r="384" spans="2:15">
      <c r="B384" s="1384">
        <v>44105</v>
      </c>
      <c r="C384" s="1385">
        <v>896.505</v>
      </c>
      <c r="D384" s="1385">
        <v>5438.12</v>
      </c>
      <c r="E384" s="1385">
        <v>1.00156966205953</v>
      </c>
      <c r="F384" s="1385">
        <v>60.327968532690427</v>
      </c>
      <c r="K384" s="1465">
        <v>42441</v>
      </c>
      <c r="L384" s="1466"/>
      <c r="M384" s="1467">
        <v>0</v>
      </c>
      <c r="N384" s="1468">
        <v>1.1414490837890217</v>
      </c>
      <c r="O384" s="1468">
        <v>1.1414490837890217</v>
      </c>
    </row>
    <row r="385" spans="2:15">
      <c r="B385" s="1384">
        <v>44136</v>
      </c>
      <c r="C385" s="1385">
        <v>925.88699999999994</v>
      </c>
      <c r="D385" s="1385">
        <v>5486.52</v>
      </c>
      <c r="E385" s="1385">
        <v>1.0014948604084073</v>
      </c>
      <c r="F385" s="1385">
        <v>60.418150424369585</v>
      </c>
      <c r="K385" s="1465">
        <v>42442</v>
      </c>
      <c r="L385" s="1466"/>
      <c r="M385" s="1467">
        <v>0</v>
      </c>
      <c r="N385" s="1468">
        <v>1.1414490837890217</v>
      </c>
      <c r="O385" s="1468">
        <v>1.1414490837890217</v>
      </c>
    </row>
    <row r="386" spans="2:15">
      <c r="B386" s="1384">
        <v>44166</v>
      </c>
      <c r="C386" s="1385">
        <v>934.75800000000004</v>
      </c>
      <c r="D386" s="1385">
        <v>5560.59</v>
      </c>
      <c r="E386" s="1385">
        <v>1.0016444692975899</v>
      </c>
      <c r="F386" s="1385">
        <v>60.517506217759632</v>
      </c>
      <c r="K386" s="1465">
        <v>42443</v>
      </c>
      <c r="L386" s="1466" t="s">
        <v>2127</v>
      </c>
      <c r="M386" s="1467">
        <v>5.2531000000000001E-2</v>
      </c>
      <c r="N386" s="1468">
        <v>1.1420486984072269</v>
      </c>
      <c r="O386" s="1468">
        <v>1.1420486984072269</v>
      </c>
    </row>
    <row r="387" spans="2:15">
      <c r="B387" s="1384">
        <v>44197</v>
      </c>
      <c r="C387" s="1385">
        <v>958.84400000000005</v>
      </c>
      <c r="D387" s="1385">
        <v>5574.49</v>
      </c>
      <c r="E387" s="1385">
        <v>1.0014948604084077</v>
      </c>
      <c r="F387" s="1385">
        <v>60.607971441820126</v>
      </c>
      <c r="K387" s="1465">
        <v>42444</v>
      </c>
      <c r="L387" s="1466" t="s">
        <v>2127</v>
      </c>
      <c r="M387" s="1467">
        <v>5.2531000000000001E-2</v>
      </c>
      <c r="N387" s="1468">
        <v>1.1426486280089871</v>
      </c>
      <c r="O387" s="1468">
        <v>1.1426486280089871</v>
      </c>
    </row>
    <row r="388" spans="2:15">
      <c r="B388" s="1384">
        <v>44228</v>
      </c>
      <c r="C388" s="1385">
        <v>983.06299999999999</v>
      </c>
      <c r="D388" s="1385">
        <v>5622.43</v>
      </c>
      <c r="E388" s="1385">
        <v>1.0013452738652961</v>
      </c>
      <c r="F388" s="1385">
        <v>60.689505761829423</v>
      </c>
      <c r="K388" s="1465">
        <v>42445</v>
      </c>
      <c r="L388" s="1466" t="s">
        <v>2127</v>
      </c>
      <c r="M388" s="1467">
        <v>5.2531000000000001E-2</v>
      </c>
      <c r="N388" s="1468">
        <v>1.1432488727597665</v>
      </c>
      <c r="O388" s="1468">
        <v>1.1432488727597665</v>
      </c>
    </row>
    <row r="389" spans="2:15">
      <c r="B389" s="1384">
        <v>44256</v>
      </c>
      <c r="C389" s="1385">
        <v>1011.948</v>
      </c>
      <c r="D389" s="1385">
        <v>5674.72</v>
      </c>
      <c r="E389" s="1385">
        <v>1.0020107988327946</v>
      </c>
      <c r="F389" s="1385">
        <v>60.811540149178192</v>
      </c>
      <c r="K389" s="1465">
        <v>42446</v>
      </c>
      <c r="L389" s="1466" t="s">
        <v>2127</v>
      </c>
      <c r="M389" s="1467">
        <v>5.2531000000000001E-2</v>
      </c>
      <c r="N389" s="1468">
        <v>1.1438494328251159</v>
      </c>
      <c r="O389" s="1468">
        <v>1.1438494328251159</v>
      </c>
    </row>
    <row r="390" spans="2:15">
      <c r="B390" s="1384">
        <v>44287</v>
      </c>
      <c r="C390" s="1385">
        <v>1027.211</v>
      </c>
      <c r="D390" s="1385">
        <v>5692.31</v>
      </c>
      <c r="E390" s="1385">
        <v>1.0020778480243349</v>
      </c>
      <c r="F390" s="1385">
        <v>60.937897287733925</v>
      </c>
      <c r="K390" s="1465">
        <v>42447</v>
      </c>
      <c r="L390" s="1466" t="s">
        <v>2127</v>
      </c>
      <c r="M390" s="1467">
        <v>5.2531000000000001E-2</v>
      </c>
      <c r="N390" s="1468">
        <v>1.1444503083706732</v>
      </c>
      <c r="O390" s="1468">
        <v>1.1444503083706732</v>
      </c>
    </row>
    <row r="391" spans="2:15">
      <c r="B391" s="1384">
        <v>44317</v>
      </c>
      <c r="C391" s="1385">
        <v>1069.289</v>
      </c>
      <c r="D391" s="1385">
        <v>5739.56</v>
      </c>
      <c r="E391" s="1385">
        <v>1.0027032626398216</v>
      </c>
      <c r="F391" s="1385">
        <v>61.102628428821141</v>
      </c>
      <c r="K391" s="1465">
        <v>42448</v>
      </c>
      <c r="L391" s="1466"/>
      <c r="M391" s="1467">
        <v>0</v>
      </c>
      <c r="N391" s="1468">
        <v>1.1444503083706732</v>
      </c>
      <c r="O391" s="1468">
        <v>1.1444503083706732</v>
      </c>
    </row>
    <row r="392" spans="2:15">
      <c r="B392" s="1384">
        <v>44348</v>
      </c>
      <c r="C392" s="1385">
        <v>1075.7329999999999</v>
      </c>
      <c r="D392" s="1385">
        <v>5769.98</v>
      </c>
      <c r="E392" s="1385">
        <v>1.0030777896833167</v>
      </c>
      <c r="F392" s="1385">
        <v>61.290689468222901</v>
      </c>
      <c r="K392" s="1465">
        <v>42449</v>
      </c>
      <c r="L392" s="1466"/>
      <c r="M392" s="1467">
        <v>0</v>
      </c>
      <c r="N392" s="1468">
        <v>1.1444503083706732</v>
      </c>
      <c r="O392" s="1468">
        <v>1.1444503083706732</v>
      </c>
    </row>
    <row r="393" spans="2:15">
      <c r="B393" s="1384">
        <v>44378</v>
      </c>
      <c r="C393" s="1385">
        <v>1084.095</v>
      </c>
      <c r="D393" s="1385">
        <v>5825.37</v>
      </c>
      <c r="E393" s="1385">
        <v>1.003556161780192</v>
      </c>
      <c r="F393" s="1385">
        <v>61.508649075591414</v>
      </c>
      <c r="K393" s="1465">
        <v>42450</v>
      </c>
      <c r="L393" s="1466" t="s">
        <v>2127</v>
      </c>
      <c r="M393" s="1467">
        <v>5.2531000000000001E-2</v>
      </c>
      <c r="N393" s="1468">
        <v>1.1450514995621635</v>
      </c>
      <c r="O393" s="1468">
        <v>1.1450514995621635</v>
      </c>
    </row>
    <row r="394" spans="2:15">
      <c r="B394" s="1384">
        <v>44409</v>
      </c>
      <c r="C394" s="1385">
        <v>1091.29</v>
      </c>
      <c r="D394" s="1385">
        <v>5876.05</v>
      </c>
      <c r="E394" s="1385">
        <v>1.0042795247734253</v>
      </c>
      <c r="F394" s="1385">
        <v>61.771876863090334</v>
      </c>
      <c r="K394" s="1465">
        <v>42451</v>
      </c>
      <c r="L394" s="1466" t="s">
        <v>2127</v>
      </c>
      <c r="M394" s="1467">
        <v>5.2531000000000001E-2</v>
      </c>
      <c r="N394" s="1468">
        <v>1.1456530065653985</v>
      </c>
      <c r="O394" s="1468">
        <v>1.1456530065653985</v>
      </c>
    </row>
    <row r="395" spans="2:15">
      <c r="B395" s="1384">
        <v>44440</v>
      </c>
      <c r="C395" s="1385">
        <v>1084.3119999999999</v>
      </c>
      <c r="D395" s="1385">
        <v>5944.21</v>
      </c>
      <c r="E395" s="1385">
        <v>1.0044199933223523</v>
      </c>
      <c r="F395" s="1385">
        <v>62.044908146334365</v>
      </c>
      <c r="K395" s="1465">
        <v>42452</v>
      </c>
      <c r="L395" s="1466" t="s">
        <v>2127</v>
      </c>
      <c r="M395" s="1467">
        <v>5.2531000000000001E-2</v>
      </c>
      <c r="N395" s="1468">
        <v>1.1462548295462773</v>
      </c>
      <c r="O395" s="1468">
        <v>1.1462548295462773</v>
      </c>
    </row>
    <row r="396" spans="2:15">
      <c r="B396" s="1384">
        <v>44470</v>
      </c>
      <c r="C396" s="1385">
        <v>1091.2829999999999</v>
      </c>
      <c r="D396" s="1385">
        <v>6018.51</v>
      </c>
      <c r="E396" s="1385">
        <v>1.0048599610251685</v>
      </c>
      <c r="F396" s="1385">
        <v>62.34644398173571</v>
      </c>
      <c r="K396" s="1465">
        <v>42453</v>
      </c>
      <c r="L396" s="1466" t="s">
        <v>2127</v>
      </c>
      <c r="M396" s="1467">
        <v>5.2531000000000001E-2</v>
      </c>
      <c r="N396" s="1468">
        <v>1.1468569686707863</v>
      </c>
      <c r="O396" s="1468">
        <v>1.1468569686707863</v>
      </c>
    </row>
    <row r="397" spans="2:15">
      <c r="B397" s="1384">
        <v>44501</v>
      </c>
      <c r="C397" s="1385">
        <v>1091.4829999999999</v>
      </c>
      <c r="D397" s="1385">
        <v>6075.69</v>
      </c>
      <c r="E397" s="1385">
        <v>1.0058674909390046</v>
      </c>
      <c r="F397" s="1385">
        <v>62.712261176877703</v>
      </c>
      <c r="K397" s="1465">
        <v>42454</v>
      </c>
      <c r="L397" s="1466"/>
      <c r="M397" s="1467">
        <v>0</v>
      </c>
      <c r="N397" s="1468">
        <v>1.1468569686707863</v>
      </c>
      <c r="O397" s="1468">
        <v>1.1468569686707863</v>
      </c>
    </row>
    <row r="398" spans="2:15">
      <c r="B398" s="1384">
        <v>44531</v>
      </c>
      <c r="C398" s="1385">
        <v>1100.9880000000001</v>
      </c>
      <c r="D398" s="1385">
        <v>6120.04</v>
      </c>
      <c r="E398" s="1385">
        <v>1.0076908308186336</v>
      </c>
      <c r="F398" s="1385">
        <v>63.194570567843037</v>
      </c>
      <c r="K398" s="1465">
        <v>42455</v>
      </c>
      <c r="L398" s="1466"/>
      <c r="M398" s="1467">
        <v>0</v>
      </c>
      <c r="N398" s="1468">
        <v>1.1468569686707863</v>
      </c>
      <c r="O398" s="1468">
        <v>1.1468569686707863</v>
      </c>
    </row>
    <row r="399" spans="2:15">
      <c r="B399" s="1384">
        <v>44562</v>
      </c>
      <c r="C399" s="1385">
        <v>1120.999</v>
      </c>
      <c r="D399" s="1385">
        <v>6153.09</v>
      </c>
      <c r="E399" s="1385">
        <v>1.0073227032460901</v>
      </c>
      <c r="F399" s="1385">
        <v>63.65732565487545</v>
      </c>
      <c r="K399" s="1465">
        <v>42456</v>
      </c>
      <c r="L399" s="1466"/>
      <c r="M399" s="1467">
        <v>0</v>
      </c>
      <c r="N399" s="1468">
        <v>1.1468569686707863</v>
      </c>
      <c r="O399" s="1468">
        <v>1.1468569686707863</v>
      </c>
    </row>
    <row r="400" spans="2:15">
      <c r="B400" s="1384">
        <v>44593</v>
      </c>
      <c r="C400" s="1385">
        <v>1141.546</v>
      </c>
      <c r="D400" s="1385">
        <v>6215.24</v>
      </c>
      <c r="E400" s="1385">
        <v>1.0075504098703885</v>
      </c>
      <c r="F400" s="1385">
        <v>64.13796455482256</v>
      </c>
      <c r="K400" s="1465">
        <v>42457</v>
      </c>
      <c r="L400" s="1466" t="s">
        <v>2127</v>
      </c>
      <c r="M400" s="1467">
        <v>5.2531000000000001E-2</v>
      </c>
      <c r="N400" s="1468">
        <v>1.1474594241049989</v>
      </c>
      <c r="O400" s="1468">
        <v>1.1474594241049989</v>
      </c>
    </row>
    <row r="401" spans="2:15">
      <c r="B401" s="1384">
        <v>44621</v>
      </c>
      <c r="C401" s="1385">
        <v>1161.4179999999999</v>
      </c>
      <c r="D401" s="1385">
        <v>6315.93</v>
      </c>
      <c r="E401" s="1385">
        <v>1.0092705386289318</v>
      </c>
      <c r="F401" s="1385">
        <v>64.732558032809095</v>
      </c>
      <c r="K401" s="1465">
        <v>42458</v>
      </c>
      <c r="L401" s="1466" t="s">
        <v>2127</v>
      </c>
      <c r="M401" s="1467">
        <v>5.2531000000000001E-2</v>
      </c>
      <c r="N401" s="1468">
        <v>1.1480621960150754</v>
      </c>
      <c r="O401" s="1468">
        <v>1.1480621960150754</v>
      </c>
    </row>
    <row r="402" spans="2:15">
      <c r="B402" s="1384">
        <v>44652</v>
      </c>
      <c r="C402" s="1385">
        <v>1177.809</v>
      </c>
      <c r="D402" s="1385">
        <v>6382.88</v>
      </c>
      <c r="E402" s="1385">
        <v>1.0083432052372134</v>
      </c>
      <c r="F402" s="1385">
        <v>65.272635050006656</v>
      </c>
      <c r="K402" s="1465">
        <v>42459</v>
      </c>
      <c r="L402" s="1466" t="s">
        <v>2127</v>
      </c>
      <c r="M402" s="1467">
        <v>5.2531000000000001E-2</v>
      </c>
      <c r="N402" s="1468">
        <v>1.148665284567264</v>
      </c>
      <c r="O402" s="1468">
        <v>1.148665284567264</v>
      </c>
    </row>
    <row r="403" spans="2:15">
      <c r="B403" s="1384">
        <v>44682</v>
      </c>
      <c r="C403" s="1385">
        <v>1183.953</v>
      </c>
      <c r="D403" s="1385">
        <v>6412.88</v>
      </c>
      <c r="E403" s="1385">
        <v>1.0103459230153136</v>
      </c>
      <c r="F403" s="1385">
        <v>65.947940707240676</v>
      </c>
      <c r="K403" s="1465">
        <v>42460</v>
      </c>
      <c r="L403" s="1466" t="s">
        <v>2127</v>
      </c>
      <c r="M403" s="1467">
        <v>5.2531000000000001E-2</v>
      </c>
      <c r="N403" s="1468">
        <v>1.1492686899279001</v>
      </c>
      <c r="O403" s="1468">
        <v>1.1492686899279001</v>
      </c>
    </row>
    <row r="404" spans="2:15">
      <c r="B404" s="1384">
        <v>44713</v>
      </c>
      <c r="C404" s="1385">
        <v>1190.8820000000001</v>
      </c>
      <c r="D404" s="1385">
        <v>6455.85</v>
      </c>
      <c r="E404" s="1385">
        <v>1.0101531560893695</v>
      </c>
      <c r="F404" s="1385">
        <v>66.617520443013774</v>
      </c>
      <c r="K404" s="1465">
        <v>42461</v>
      </c>
      <c r="L404" s="1466" t="s">
        <v>2127</v>
      </c>
      <c r="M404" s="1467">
        <v>5.2531000000000001E-2</v>
      </c>
      <c r="N404" s="1468">
        <v>1.1498724122634061</v>
      </c>
      <c r="O404" s="1468">
        <v>1.1498724122634061</v>
      </c>
    </row>
    <row r="405" spans="2:15">
      <c r="B405" s="1384">
        <v>44743</v>
      </c>
      <c r="C405" s="1385">
        <v>1193.337</v>
      </c>
      <c r="D405" s="1385">
        <v>6411.95</v>
      </c>
      <c r="E405" s="1385">
        <v>1.0103484243492924</v>
      </c>
      <c r="F405" s="1385">
        <v>67.306906813655743</v>
      </c>
      <c r="K405" s="1465">
        <v>42462</v>
      </c>
      <c r="L405" s="1466"/>
      <c r="M405" s="1467">
        <v>0</v>
      </c>
      <c r="N405" s="1468">
        <v>1.1498724122634061</v>
      </c>
      <c r="O405" s="1468">
        <v>1.1498724122634061</v>
      </c>
    </row>
    <row r="406" spans="2:15">
      <c r="B406" s="1384">
        <v>44774</v>
      </c>
      <c r="C406" s="1385">
        <v>1185.0039999999999</v>
      </c>
      <c r="D406" s="1385">
        <v>6388.87</v>
      </c>
      <c r="E406" s="1385">
        <v>1.0116936128000631</v>
      </c>
      <c r="F406" s="1385">
        <v>68.093967720704555</v>
      </c>
      <c r="K406" s="1465">
        <v>42463</v>
      </c>
      <c r="L406" s="1466"/>
      <c r="M406" s="1467">
        <v>0</v>
      </c>
      <c r="N406" s="1468">
        <v>1.1498724122634061</v>
      </c>
      <c r="O406" s="1468">
        <v>1.1498724122634061</v>
      </c>
    </row>
    <row r="407" spans="2:15">
      <c r="B407" s="1384">
        <v>44805</v>
      </c>
      <c r="C407" s="1385">
        <v>1188.5886370999999</v>
      </c>
      <c r="D407" s="1385">
        <v>6404.6441200300005</v>
      </c>
      <c r="E407" s="1385">
        <v>1.010719822473549</v>
      </c>
      <c r="F407" s="1385">
        <v>68.823922966190082</v>
      </c>
      <c r="K407" s="1465">
        <v>42464</v>
      </c>
      <c r="L407" s="1466" t="s">
        <v>2127</v>
      </c>
      <c r="M407" s="1467">
        <v>5.2531000000000001E-2</v>
      </c>
      <c r="N407" s="1468">
        <v>1.1504764517402921</v>
      </c>
      <c r="O407" s="1468">
        <v>1.1504764517402921</v>
      </c>
    </row>
    <row r="408" spans="2:15">
      <c r="B408" s="1384">
        <v>44835</v>
      </c>
      <c r="C408" s="1385">
        <v>1195.4598680110751</v>
      </c>
      <c r="D408" s="1385">
        <v>6437.1220703626732</v>
      </c>
      <c r="E408" s="1385">
        <v>1.0102067586649579</v>
      </c>
      <c r="F408" s="1385">
        <v>69.526392138281636</v>
      </c>
      <c r="K408" s="1465">
        <v>42465</v>
      </c>
      <c r="L408" s="1466" t="s">
        <v>2127</v>
      </c>
      <c r="M408" s="1467">
        <v>5.2531000000000001E-2</v>
      </c>
      <c r="N408" s="1468">
        <v>1.1510808085251558</v>
      </c>
      <c r="O408" s="1468">
        <v>1.1510808085251558</v>
      </c>
    </row>
    <row r="409" spans="2:15">
      <c r="B409" s="1384">
        <v>44866</v>
      </c>
      <c r="C409" s="1385">
        <v>1202.90399660918</v>
      </c>
      <c r="D409" s="1385">
        <v>6470.2603747808998</v>
      </c>
      <c r="E409" s="1385">
        <v>1.0102067586649579</v>
      </c>
      <c r="F409" s="1385">
        <v>70.236031243682305</v>
      </c>
      <c r="K409" s="1465">
        <v>42466</v>
      </c>
      <c r="L409" s="1466" t="s">
        <v>2127</v>
      </c>
      <c r="M409" s="1467">
        <v>5.2531000000000001E-2</v>
      </c>
      <c r="N409" s="1468">
        <v>1.1516854827846821</v>
      </c>
      <c r="O409" s="1468">
        <v>1.1516854827846821</v>
      </c>
    </row>
    <row r="410" spans="2:15">
      <c r="B410" s="1384">
        <v>44896</v>
      </c>
      <c r="C410" s="1385">
        <v>1210.0636811969978</v>
      </c>
      <c r="D410" s="1385">
        <v>6518.3732309277702</v>
      </c>
      <c r="E410" s="1385">
        <v>1.0112331468569864</v>
      </c>
      <c r="F410" s="1385">
        <v>71.02500289729447</v>
      </c>
      <c r="K410" s="1465">
        <v>42467</v>
      </c>
      <c r="L410" s="1466" t="s">
        <v>2127</v>
      </c>
      <c r="M410" s="1467">
        <v>5.2531000000000001E-2</v>
      </c>
      <c r="N410" s="1468">
        <v>1.1522904746856437</v>
      </c>
      <c r="O410" s="1468">
        <v>1.1522904746856437</v>
      </c>
    </row>
    <row r="411" spans="2:15">
      <c r="B411" s="1384">
        <v>44927</v>
      </c>
      <c r="C411" s="1385">
        <v>1216.2204852069281</v>
      </c>
      <c r="D411" s="1385">
        <v>6562.8546098556208</v>
      </c>
      <c r="E411" s="1385">
        <v>1.0112331468569866</v>
      </c>
      <c r="F411" s="1385">
        <v>71.822837185357685</v>
      </c>
      <c r="K411" s="1465">
        <v>42468</v>
      </c>
      <c r="L411" s="1466" t="s">
        <v>2127</v>
      </c>
      <c r="M411" s="1467">
        <v>5.2531000000000001E-2</v>
      </c>
      <c r="N411" s="1468">
        <v>1.1528957843949008</v>
      </c>
      <c r="O411" s="1468">
        <v>1.1528957843949008</v>
      </c>
    </row>
    <row r="412" spans="2:15">
      <c r="B412" s="1384">
        <v>44958</v>
      </c>
      <c r="C412" s="1385">
        <v>1221.2130702987026</v>
      </c>
      <c r="D412" s="1385">
        <v>6605.2243992168487</v>
      </c>
      <c r="E412" s="1385">
        <v>1.0091814122432907</v>
      </c>
      <c r="F412" s="1385">
        <v>72.482272262039203</v>
      </c>
      <c r="K412" s="1465">
        <v>42469</v>
      </c>
      <c r="L412" s="1466"/>
      <c r="M412" s="1467">
        <v>0</v>
      </c>
      <c r="N412" s="1468">
        <v>1.1528957843949008</v>
      </c>
      <c r="O412" s="1468">
        <v>1.1528957843949008</v>
      </c>
    </row>
    <row r="413" spans="2:15">
      <c r="B413" s="1384">
        <v>44986</v>
      </c>
      <c r="C413" s="1385">
        <v>1226.0405255655935</v>
      </c>
      <c r="D413" s="1385">
        <v>6636.5860046643302</v>
      </c>
      <c r="E413" s="1385">
        <v>1.0117467319476126</v>
      </c>
      <c r="F413" s="1385">
        <v>73.333702085255254</v>
      </c>
      <c r="K413" s="1465">
        <v>42470</v>
      </c>
      <c r="L413" s="1466"/>
      <c r="M413" s="1467">
        <v>0</v>
      </c>
      <c r="N413" s="1468">
        <v>1.1528957843949008</v>
      </c>
      <c r="O413" s="1468">
        <v>1.1528957843949008</v>
      </c>
    </row>
    <row r="414" spans="2:15">
      <c r="B414" s="1384">
        <v>45017</v>
      </c>
      <c r="C414" s="1385">
        <v>1230.1955769067354</v>
      </c>
      <c r="D414" s="1385">
        <v>6667.1143002857852</v>
      </c>
      <c r="E414" s="1385">
        <v>1.0091814122432907</v>
      </c>
      <c r="F414" s="1385">
        <v>74.007009035426648</v>
      </c>
      <c r="K414" s="1465">
        <v>42471</v>
      </c>
      <c r="L414" s="1466" t="s">
        <v>2127</v>
      </c>
      <c r="M414" s="1467">
        <v>5.2531000000000001E-2</v>
      </c>
      <c r="N414" s="1468">
        <v>1.1535014120794014</v>
      </c>
      <c r="O414" s="1468">
        <v>1.1535014120794014</v>
      </c>
    </row>
    <row r="415" spans="2:15">
      <c r="B415" s="1384">
        <v>45047</v>
      </c>
      <c r="C415" s="1385">
        <v>1233.7926687736106</v>
      </c>
      <c r="D415" s="1385">
        <v>6689.8024902496581</v>
      </c>
      <c r="E415" s="1385">
        <v>1.0112331468569866</v>
      </c>
      <c r="F415" s="1385">
        <v>74.838340636367931</v>
      </c>
      <c r="K415" s="1465">
        <v>42472</v>
      </c>
      <c r="L415" s="1466" t="s">
        <v>2127</v>
      </c>
      <c r="M415" s="1467">
        <v>5.2531000000000001E-2</v>
      </c>
      <c r="N415" s="1468">
        <v>1.1541073579061809</v>
      </c>
      <c r="O415" s="1468">
        <v>1.1541073579061809</v>
      </c>
    </row>
    <row r="416" spans="2:15">
      <c r="B416" s="1384">
        <v>45078</v>
      </c>
      <c r="C416" s="1385">
        <v>1238.0924362242865</v>
      </c>
      <c r="D416" s="1385">
        <v>6710.8887476989257</v>
      </c>
      <c r="E416" s="1385">
        <v>1.010719822473549</v>
      </c>
      <c r="F416" s="1385">
        <v>75.64059436220478</v>
      </c>
      <c r="K416" s="1465">
        <v>42473</v>
      </c>
      <c r="L416" s="1466" t="s">
        <v>2127</v>
      </c>
      <c r="M416" s="1467">
        <v>5.2531000000000001E-2</v>
      </c>
      <c r="N416" s="1468">
        <v>1.1547136220423626</v>
      </c>
      <c r="O416" s="1468">
        <v>1.1547136220423626</v>
      </c>
    </row>
    <row r="417" spans="2:15">
      <c r="B417" s="1384">
        <v>45108</v>
      </c>
      <c r="C417" s="1385">
        <v>1241.6878566590819</v>
      </c>
      <c r="D417" s="1385">
        <v>6731.658948373054</v>
      </c>
      <c r="E417" s="1385">
        <v>1.0107198224735483</v>
      </c>
      <c r="F417" s="1385">
        <v>76.451448105561298</v>
      </c>
      <c r="K417" s="1465">
        <v>42474</v>
      </c>
      <c r="L417" s="1466" t="s">
        <v>2127</v>
      </c>
      <c r="M417" s="1467">
        <v>5.2531000000000001E-2</v>
      </c>
      <c r="N417" s="1468">
        <v>1.1553202046551576</v>
      </c>
      <c r="O417" s="1468">
        <v>1.1553202046551576</v>
      </c>
    </row>
    <row r="418" spans="2:15">
      <c r="B418" s="1384">
        <v>45139</v>
      </c>
      <c r="C418" s="1385">
        <v>1245.6153153496946</v>
      </c>
      <c r="D418" s="1385">
        <v>6747.6399067164921</v>
      </c>
      <c r="E418" s="1385">
        <v>1.0117467319476126</v>
      </c>
      <c r="F418" s="1385">
        <v>77.349502773464138</v>
      </c>
      <c r="K418" s="1465">
        <v>42475</v>
      </c>
      <c r="L418" s="1466" t="s">
        <v>2127</v>
      </c>
      <c r="M418" s="1467">
        <v>5.2531000000000001E-2</v>
      </c>
      <c r="N418" s="1468">
        <v>1.155927105911865</v>
      </c>
      <c r="O418" s="1468">
        <v>1.155927105911865</v>
      </c>
    </row>
    <row r="419" spans="2:15">
      <c r="B419" s="1384">
        <v>45170</v>
      </c>
      <c r="C419" s="1385">
        <v>1251.1570578876854</v>
      </c>
      <c r="D419" s="1385">
        <v>6769.6169698926678</v>
      </c>
      <c r="E419" s="1385">
        <v>1.0102067586649579</v>
      </c>
      <c r="F419" s="1385">
        <v>78.138990481127379</v>
      </c>
      <c r="K419" s="1465">
        <v>42476</v>
      </c>
      <c r="L419" s="1466"/>
      <c r="M419" s="1467">
        <v>0</v>
      </c>
      <c r="N419" s="1468">
        <v>1.155927105911865</v>
      </c>
      <c r="O419" s="1468">
        <v>1.155927105911865</v>
      </c>
    </row>
    <row r="420" spans="2:15">
      <c r="B420" s="1384">
        <v>45200</v>
      </c>
      <c r="C420" s="1385">
        <v>1257.0750307714941</v>
      </c>
      <c r="D420" s="1385">
        <v>6796.3637265407142</v>
      </c>
      <c r="E420" s="1385">
        <v>1.0107198224735487</v>
      </c>
      <c r="F420" s="1385">
        <v>78.976626587347383</v>
      </c>
      <c r="K420" s="1465">
        <v>42477</v>
      </c>
      <c r="L420" s="1466"/>
      <c r="M420" s="1467">
        <v>0</v>
      </c>
      <c r="N420" s="1468">
        <v>1.155927105911865</v>
      </c>
      <c r="O420" s="1468">
        <v>1.155927105911865</v>
      </c>
    </row>
    <row r="421" spans="2:15">
      <c r="B421" s="1384">
        <v>45231</v>
      </c>
      <c r="C421" s="1385">
        <v>1262.6702717334581</v>
      </c>
      <c r="D421" s="1385">
        <v>6821.4830868740082</v>
      </c>
      <c r="E421" s="1385">
        <v>1.0102067586649577</v>
      </c>
      <c r="F421" s="1385">
        <v>79.782721955096918</v>
      </c>
      <c r="K421" s="1465">
        <v>42478</v>
      </c>
      <c r="L421" s="1466" t="s">
        <v>2127</v>
      </c>
      <c r="M421" s="1467">
        <v>5.2531000000000001E-2</v>
      </c>
      <c r="N421" s="1468">
        <v>1.1565343259798715</v>
      </c>
      <c r="O421" s="1468">
        <v>1.1565343259798715</v>
      </c>
    </row>
    <row r="422" spans="2:15">
      <c r="B422" s="1384">
        <v>45261</v>
      </c>
      <c r="C422" s="1385">
        <v>1268.1742514479442</v>
      </c>
      <c r="D422" s="1385">
        <v>6857.9166280410027</v>
      </c>
      <c r="E422" s="1385">
        <v>1.0102067586649579</v>
      </c>
      <c r="F422" s="1385">
        <v>80.597044943726033</v>
      </c>
      <c r="K422" s="1465">
        <v>42479</v>
      </c>
      <c r="L422" s="1466" t="s">
        <v>2127</v>
      </c>
      <c r="M422" s="1467">
        <v>5.2531000000000001E-2</v>
      </c>
      <c r="N422" s="1468">
        <v>1.1571418650266521</v>
      </c>
      <c r="O422" s="1468">
        <v>1.1571418650266521</v>
      </c>
    </row>
    <row r="423" spans="2:15">
      <c r="B423" s="1384">
        <v>45292</v>
      </c>
      <c r="C423" s="1385" t="e">
        <v>#N/A</v>
      </c>
      <c r="D423" s="1385" t="e">
        <v>#N/A</v>
      </c>
      <c r="E423" s="1385" t="e">
        <v>#N/A</v>
      </c>
      <c r="F423" s="1385" t="e">
        <f t="shared" ref="F423:F483" si="0">F422*E423</f>
        <v>#N/A</v>
      </c>
      <c r="K423" s="1465">
        <v>42480</v>
      </c>
      <c r="L423" s="1466" t="s">
        <v>2127</v>
      </c>
      <c r="M423" s="1467">
        <v>5.2531000000000001E-2</v>
      </c>
      <c r="N423" s="1468">
        <v>1.1577497232197693</v>
      </c>
      <c r="O423" s="1468">
        <v>1.1577497232197693</v>
      </c>
    </row>
    <row r="424" spans="2:15">
      <c r="B424" s="1384">
        <v>45323</v>
      </c>
      <c r="C424" s="1385" t="e">
        <v>#N/A</v>
      </c>
      <c r="D424" s="1385" t="e">
        <v>#N/A</v>
      </c>
      <c r="E424" s="1385" t="e">
        <v>#N/A</v>
      </c>
      <c r="F424" s="1385" t="e">
        <f t="shared" si="0"/>
        <v>#N/A</v>
      </c>
      <c r="K424" s="1465">
        <v>42481</v>
      </c>
      <c r="L424" s="1466"/>
      <c r="M424" s="1467">
        <v>0</v>
      </c>
      <c r="N424" s="1468">
        <v>1.1577497232197693</v>
      </c>
      <c r="O424" s="1468">
        <v>1.1577497232197693</v>
      </c>
    </row>
    <row r="425" spans="2:15">
      <c r="B425" s="1384">
        <v>45352</v>
      </c>
      <c r="C425" s="1385" t="e">
        <v>#N/A</v>
      </c>
      <c r="D425" s="1385" t="e">
        <v>#N/A</v>
      </c>
      <c r="E425" s="1385" t="e">
        <v>#N/A</v>
      </c>
      <c r="F425" s="1385" t="e">
        <f t="shared" si="0"/>
        <v>#N/A</v>
      </c>
      <c r="K425" s="1465">
        <v>42482</v>
      </c>
      <c r="L425" s="1466" t="s">
        <v>2127</v>
      </c>
      <c r="M425" s="1467">
        <v>5.2531000000000001E-2</v>
      </c>
      <c r="N425" s="1468">
        <v>1.1583579007268738</v>
      </c>
      <c r="O425" s="1468">
        <v>1.1583579007268738</v>
      </c>
    </row>
    <row r="426" spans="2:15">
      <c r="B426" s="1384">
        <v>45383</v>
      </c>
      <c r="C426" s="1385" t="e">
        <v>#N/A</v>
      </c>
      <c r="D426" s="1385" t="e">
        <v>#N/A</v>
      </c>
      <c r="E426" s="1385" t="e">
        <v>#N/A</v>
      </c>
      <c r="F426" s="1385" t="e">
        <f t="shared" si="0"/>
        <v>#N/A</v>
      </c>
      <c r="K426" s="1465">
        <v>42483</v>
      </c>
      <c r="L426" s="1466"/>
      <c r="M426" s="1467">
        <v>0</v>
      </c>
      <c r="N426" s="1468">
        <v>1.1583579007268738</v>
      </c>
      <c r="O426" s="1468">
        <v>1.1583579007268738</v>
      </c>
    </row>
    <row r="427" spans="2:15">
      <c r="B427" s="1384">
        <v>45413</v>
      </c>
      <c r="C427" s="1385" t="e">
        <v>#N/A</v>
      </c>
      <c r="D427" s="1385" t="e">
        <v>#N/A</v>
      </c>
      <c r="E427" s="1385" t="e">
        <v>#N/A</v>
      </c>
      <c r="F427" s="1385" t="e">
        <f t="shared" si="0"/>
        <v>#N/A</v>
      </c>
      <c r="K427" s="1465">
        <v>42484</v>
      </c>
      <c r="L427" s="1466"/>
      <c r="M427" s="1467">
        <v>0</v>
      </c>
      <c r="N427" s="1468">
        <v>1.1583579007268738</v>
      </c>
      <c r="O427" s="1468">
        <v>1.1583579007268738</v>
      </c>
    </row>
    <row r="428" spans="2:15">
      <c r="B428" s="1384">
        <v>45444</v>
      </c>
      <c r="C428" s="1385" t="e">
        <v>#N/A</v>
      </c>
      <c r="D428" s="1385" t="e">
        <v>#N/A</v>
      </c>
      <c r="E428" s="1385" t="e">
        <v>#N/A</v>
      </c>
      <c r="F428" s="1385" t="e">
        <f t="shared" si="0"/>
        <v>#N/A</v>
      </c>
      <c r="K428" s="1465">
        <v>42485</v>
      </c>
      <c r="L428" s="1466" t="s">
        <v>2127</v>
      </c>
      <c r="M428" s="1467">
        <v>5.2531000000000001E-2</v>
      </c>
      <c r="N428" s="1468">
        <v>1.1589663977157048</v>
      </c>
      <c r="O428" s="1468">
        <v>1.1589663977157048</v>
      </c>
    </row>
    <row r="429" spans="2:15">
      <c r="B429" s="1384">
        <v>45474</v>
      </c>
      <c r="C429" s="1385" t="e">
        <v>#N/A</v>
      </c>
      <c r="D429" s="1385" t="e">
        <v>#N/A</v>
      </c>
      <c r="E429" s="1385" t="e">
        <v>#N/A</v>
      </c>
      <c r="F429" s="1385" t="e">
        <f t="shared" si="0"/>
        <v>#N/A</v>
      </c>
      <c r="K429" s="1465">
        <v>42486</v>
      </c>
      <c r="L429" s="1466" t="s">
        <v>2127</v>
      </c>
      <c r="M429" s="1467">
        <v>5.2531000000000001E-2</v>
      </c>
      <c r="N429" s="1468">
        <v>1.1595752143540887</v>
      </c>
      <c r="O429" s="1468">
        <v>1.1595752143540887</v>
      </c>
    </row>
    <row r="430" spans="2:15">
      <c r="B430" s="1384">
        <v>45505</v>
      </c>
      <c r="C430" s="1385" t="e">
        <v>#N/A</v>
      </c>
      <c r="D430" s="1385" t="e">
        <v>#N/A</v>
      </c>
      <c r="E430" s="1385" t="e">
        <v>#N/A</v>
      </c>
      <c r="F430" s="1385" t="e">
        <f t="shared" si="0"/>
        <v>#N/A</v>
      </c>
      <c r="K430" s="1465">
        <v>42487</v>
      </c>
      <c r="L430" s="1466" t="s">
        <v>2127</v>
      </c>
      <c r="M430" s="1467">
        <v>5.2531000000000001E-2</v>
      </c>
      <c r="N430" s="1468">
        <v>1.160184350809941</v>
      </c>
      <c r="O430" s="1468">
        <v>1.160184350809941</v>
      </c>
    </row>
    <row r="431" spans="2:15">
      <c r="B431" s="1384">
        <v>45536</v>
      </c>
      <c r="C431" s="1385" t="e">
        <v>#N/A</v>
      </c>
      <c r="D431" s="1385" t="e">
        <v>#N/A</v>
      </c>
      <c r="E431" s="1385" t="e">
        <v>#N/A</v>
      </c>
      <c r="F431" s="1385" t="e">
        <f t="shared" si="0"/>
        <v>#N/A</v>
      </c>
      <c r="K431" s="1465">
        <v>42488</v>
      </c>
      <c r="L431" s="1466" t="s">
        <v>2127</v>
      </c>
      <c r="M431" s="1467">
        <v>5.2531000000000001E-2</v>
      </c>
      <c r="N431" s="1468">
        <v>1.1607938072512649</v>
      </c>
      <c r="O431" s="1468">
        <v>1.1607938072512649</v>
      </c>
    </row>
    <row r="432" spans="2:15">
      <c r="B432" s="1384">
        <v>45566</v>
      </c>
      <c r="C432" s="1385" t="e">
        <v>#N/A</v>
      </c>
      <c r="D432" s="1385" t="e">
        <v>#N/A</v>
      </c>
      <c r="E432" s="1385" t="e">
        <v>#N/A</v>
      </c>
      <c r="F432" s="1385" t="e">
        <f t="shared" si="0"/>
        <v>#N/A</v>
      </c>
      <c r="K432" s="1465">
        <v>42489</v>
      </c>
      <c r="L432" s="1466" t="s">
        <v>2127</v>
      </c>
      <c r="M432" s="1467">
        <v>5.2531000000000001E-2</v>
      </c>
      <c r="N432" s="1468">
        <v>1.1614035838461521</v>
      </c>
      <c r="O432" s="1468">
        <v>1.1614035838461521</v>
      </c>
    </row>
    <row r="433" spans="2:15">
      <c r="B433" s="1384">
        <v>45597</v>
      </c>
      <c r="C433" s="1385" t="e">
        <v>#N/A</v>
      </c>
      <c r="D433" s="1385" t="e">
        <v>#N/A</v>
      </c>
      <c r="E433" s="1385" t="e">
        <v>#N/A</v>
      </c>
      <c r="F433" s="1385" t="e">
        <f t="shared" si="0"/>
        <v>#N/A</v>
      </c>
      <c r="K433" s="1465">
        <v>42490</v>
      </c>
      <c r="L433" s="1466"/>
      <c r="M433" s="1467">
        <v>0</v>
      </c>
      <c r="N433" s="1468">
        <v>1.1614035838461521</v>
      </c>
      <c r="O433" s="1468">
        <v>1.1614035838461521</v>
      </c>
    </row>
    <row r="434" spans="2:15">
      <c r="B434" s="1384">
        <v>45627</v>
      </c>
      <c r="C434" s="1385" t="e">
        <v>#N/A</v>
      </c>
      <c r="D434" s="1385" t="e">
        <v>#N/A</v>
      </c>
      <c r="E434" s="1385" t="e">
        <v>#N/A</v>
      </c>
      <c r="F434" s="1385" t="e">
        <f t="shared" si="0"/>
        <v>#N/A</v>
      </c>
      <c r="K434" s="1465">
        <v>42491</v>
      </c>
      <c r="L434" s="1466"/>
      <c r="M434" s="1467">
        <v>0</v>
      </c>
      <c r="N434" s="1468">
        <v>1.1614035838461521</v>
      </c>
      <c r="O434" s="1468">
        <v>1.1614035838461521</v>
      </c>
    </row>
    <row r="435" spans="2:15">
      <c r="B435" s="1384">
        <v>45658</v>
      </c>
      <c r="C435" s="1385" t="e">
        <v>#N/A</v>
      </c>
      <c r="D435" s="1385" t="e">
        <v>#N/A</v>
      </c>
      <c r="E435" s="1385" t="e">
        <v>#N/A</v>
      </c>
      <c r="F435" s="1385" t="e">
        <f t="shared" si="0"/>
        <v>#N/A</v>
      </c>
      <c r="K435" s="1465">
        <v>42492</v>
      </c>
      <c r="L435" s="1466" t="s">
        <v>2127</v>
      </c>
      <c r="M435" s="1467">
        <v>5.2531000000000001E-2</v>
      </c>
      <c r="N435" s="1468">
        <v>1.1620136807627823</v>
      </c>
      <c r="O435" s="1468">
        <v>1.1620136807627823</v>
      </c>
    </row>
    <row r="436" spans="2:15">
      <c r="B436" s="1384">
        <v>45689</v>
      </c>
      <c r="C436" s="1385" t="e">
        <v>#N/A</v>
      </c>
      <c r="D436" s="1385" t="e">
        <v>#N/A</v>
      </c>
      <c r="E436" s="1385" t="e">
        <v>#N/A</v>
      </c>
      <c r="F436" s="1385" t="e">
        <f t="shared" si="0"/>
        <v>#N/A</v>
      </c>
      <c r="K436" s="1465">
        <v>42493</v>
      </c>
      <c r="L436" s="1466" t="s">
        <v>2127</v>
      </c>
      <c r="M436" s="1467">
        <v>5.2531000000000001E-2</v>
      </c>
      <c r="N436" s="1468">
        <v>1.1626240981694238</v>
      </c>
      <c r="O436" s="1468">
        <v>1.1626240981694238</v>
      </c>
    </row>
    <row r="437" spans="2:15">
      <c r="B437" s="1384">
        <v>45717</v>
      </c>
      <c r="C437" s="1385" t="e">
        <v>#N/A</v>
      </c>
      <c r="D437" s="1385" t="e">
        <v>#N/A</v>
      </c>
      <c r="E437" s="1385" t="e">
        <v>#N/A</v>
      </c>
      <c r="F437" s="1385" t="e">
        <f t="shared" si="0"/>
        <v>#N/A</v>
      </c>
      <c r="K437" s="1465">
        <v>42494</v>
      </c>
      <c r="L437" s="1466" t="s">
        <v>2127</v>
      </c>
      <c r="M437" s="1467">
        <v>5.2531000000000001E-2</v>
      </c>
      <c r="N437" s="1468">
        <v>1.1632348362344331</v>
      </c>
      <c r="O437" s="1468">
        <v>1.1632348362344331</v>
      </c>
    </row>
    <row r="438" spans="2:15">
      <c r="B438" s="1384">
        <v>45748</v>
      </c>
      <c r="C438" s="1385" t="e">
        <v>#N/A</v>
      </c>
      <c r="D438" s="1385" t="e">
        <v>#N/A</v>
      </c>
      <c r="E438" s="1385" t="e">
        <v>#N/A</v>
      </c>
      <c r="F438" s="1385" t="e">
        <f t="shared" si="0"/>
        <v>#N/A</v>
      </c>
      <c r="K438" s="1465">
        <v>42495</v>
      </c>
      <c r="L438" s="1466" t="s">
        <v>2127</v>
      </c>
      <c r="M438" s="1467">
        <v>5.2531000000000001E-2</v>
      </c>
      <c r="N438" s="1468">
        <v>1.1638458951262554</v>
      </c>
      <c r="O438" s="1468">
        <v>1.1638458951262554</v>
      </c>
    </row>
    <row r="439" spans="2:15">
      <c r="B439" s="1384">
        <v>45778</v>
      </c>
      <c r="C439" s="1385" t="e">
        <v>#N/A</v>
      </c>
      <c r="D439" s="1385" t="e">
        <v>#N/A</v>
      </c>
      <c r="E439" s="1385" t="e">
        <v>#N/A</v>
      </c>
      <c r="F439" s="1385" t="e">
        <f t="shared" si="0"/>
        <v>#N/A</v>
      </c>
      <c r="K439" s="1465">
        <v>42496</v>
      </c>
      <c r="L439" s="1466" t="s">
        <v>2127</v>
      </c>
      <c r="M439" s="1467">
        <v>5.2531000000000001E-2</v>
      </c>
      <c r="N439" s="1468">
        <v>1.1644572750134241</v>
      </c>
      <c r="O439" s="1468">
        <v>1.1644572750134241</v>
      </c>
    </row>
    <row r="440" spans="2:15">
      <c r="B440" s="1384">
        <v>45809</v>
      </c>
      <c r="C440" s="1385" t="e">
        <v>#N/A</v>
      </c>
      <c r="D440" s="1385" t="e">
        <v>#N/A</v>
      </c>
      <c r="E440" s="1385" t="e">
        <v>#N/A</v>
      </c>
      <c r="F440" s="1385" t="e">
        <f t="shared" si="0"/>
        <v>#N/A</v>
      </c>
      <c r="K440" s="1465">
        <v>42497</v>
      </c>
      <c r="L440" s="1466"/>
      <c r="M440" s="1467">
        <v>0</v>
      </c>
      <c r="N440" s="1468">
        <v>1.1644572750134241</v>
      </c>
      <c r="O440" s="1468">
        <v>1.1644572750134241</v>
      </c>
    </row>
    <row r="441" spans="2:15">
      <c r="B441" s="1384">
        <v>45839</v>
      </c>
      <c r="C441" s="1385" t="e">
        <v>#N/A</v>
      </c>
      <c r="D441" s="1385" t="e">
        <v>#N/A</v>
      </c>
      <c r="E441" s="1385" t="e">
        <v>#N/A</v>
      </c>
      <c r="F441" s="1385" t="e">
        <f t="shared" si="0"/>
        <v>#N/A</v>
      </c>
      <c r="K441" s="1465">
        <v>42498</v>
      </c>
      <c r="L441" s="1466"/>
      <c r="M441" s="1467">
        <v>0</v>
      </c>
      <c r="N441" s="1468">
        <v>1.1644572750134241</v>
      </c>
      <c r="O441" s="1468">
        <v>1.1644572750134241</v>
      </c>
    </row>
    <row r="442" spans="2:15">
      <c r="B442" s="1384">
        <v>45870</v>
      </c>
      <c r="C442" s="1385" t="e">
        <v>#N/A</v>
      </c>
      <c r="D442" s="1385" t="e">
        <v>#N/A</v>
      </c>
      <c r="E442" s="1385" t="e">
        <v>#N/A</v>
      </c>
      <c r="F442" s="1385" t="e">
        <f t="shared" si="0"/>
        <v>#N/A</v>
      </c>
      <c r="K442" s="1465">
        <v>42499</v>
      </c>
      <c r="L442" s="1466" t="s">
        <v>2127</v>
      </c>
      <c r="M442" s="1467">
        <v>5.2531000000000001E-2</v>
      </c>
      <c r="N442" s="1468">
        <v>1.1650689760645614</v>
      </c>
      <c r="O442" s="1468">
        <v>1.1650689760645614</v>
      </c>
    </row>
    <row r="443" spans="2:15">
      <c r="B443" s="1384">
        <v>45901</v>
      </c>
      <c r="C443" s="1385" t="e">
        <v>#N/A</v>
      </c>
      <c r="D443" s="1385" t="e">
        <v>#N/A</v>
      </c>
      <c r="E443" s="1385" t="e">
        <v>#N/A</v>
      </c>
      <c r="F443" s="1385" t="e">
        <f t="shared" si="0"/>
        <v>#N/A</v>
      </c>
      <c r="K443" s="1465">
        <v>42500</v>
      </c>
      <c r="L443" s="1466" t="s">
        <v>2127</v>
      </c>
      <c r="M443" s="1467">
        <v>5.2531000000000001E-2</v>
      </c>
      <c r="N443" s="1468">
        <v>1.1656809984483778</v>
      </c>
      <c r="O443" s="1468">
        <v>1.1656809984483778</v>
      </c>
    </row>
    <row r="444" spans="2:15">
      <c r="B444" s="1384">
        <v>45931</v>
      </c>
      <c r="C444" s="1385" t="e">
        <v>#N/A</v>
      </c>
      <c r="D444" s="1385" t="e">
        <v>#N/A</v>
      </c>
      <c r="E444" s="1385" t="e">
        <v>#N/A</v>
      </c>
      <c r="F444" s="1385" t="e">
        <f t="shared" si="0"/>
        <v>#N/A</v>
      </c>
      <c r="K444" s="1465">
        <v>42501</v>
      </c>
      <c r="L444" s="1466" t="s">
        <v>2127</v>
      </c>
      <c r="M444" s="1467">
        <v>5.2531000000000001E-2</v>
      </c>
      <c r="N444" s="1468">
        <v>1.1662933423336728</v>
      </c>
      <c r="O444" s="1468">
        <v>1.1662933423336728</v>
      </c>
    </row>
    <row r="445" spans="2:15">
      <c r="B445" s="1384">
        <v>45962</v>
      </c>
      <c r="C445" s="1385" t="e">
        <v>#N/A</v>
      </c>
      <c r="D445" s="1385" t="e">
        <v>#N/A</v>
      </c>
      <c r="E445" s="1385" t="e">
        <v>#N/A</v>
      </c>
      <c r="F445" s="1385" t="e">
        <f t="shared" si="0"/>
        <v>#N/A</v>
      </c>
      <c r="K445" s="1465">
        <v>42502</v>
      </c>
      <c r="L445" s="1466" t="s">
        <v>2127</v>
      </c>
      <c r="M445" s="1467">
        <v>5.2531000000000001E-2</v>
      </c>
      <c r="N445" s="1468">
        <v>1.1669060078893341</v>
      </c>
      <c r="O445" s="1468">
        <v>1.1669060078893341</v>
      </c>
    </row>
    <row r="446" spans="2:15">
      <c r="B446" s="1384">
        <v>45992</v>
      </c>
      <c r="C446" s="1385" t="e">
        <v>#N/A</v>
      </c>
      <c r="D446" s="1385" t="e">
        <v>#N/A</v>
      </c>
      <c r="E446" s="1385" t="e">
        <v>#N/A</v>
      </c>
      <c r="F446" s="1385" t="e">
        <f t="shared" si="0"/>
        <v>#N/A</v>
      </c>
      <c r="K446" s="1465">
        <v>42503</v>
      </c>
      <c r="L446" s="1466" t="s">
        <v>2127</v>
      </c>
      <c r="M446" s="1467">
        <v>5.2531000000000001E-2</v>
      </c>
      <c r="N446" s="1468">
        <v>1.1675189952843383</v>
      </c>
      <c r="O446" s="1468">
        <v>1.1675189952843383</v>
      </c>
    </row>
    <row r="447" spans="2:15">
      <c r="B447" s="1384">
        <v>46023</v>
      </c>
      <c r="C447" s="1385" t="e">
        <v>#N/A</v>
      </c>
      <c r="D447" s="1385" t="e">
        <v>#N/A</v>
      </c>
      <c r="E447" s="1385" t="e">
        <v>#N/A</v>
      </c>
      <c r="F447" s="1385" t="e">
        <f t="shared" si="0"/>
        <v>#N/A</v>
      </c>
      <c r="K447" s="1465">
        <v>42504</v>
      </c>
      <c r="L447" s="1466"/>
      <c r="M447" s="1467">
        <v>0</v>
      </c>
      <c r="N447" s="1468">
        <v>1.1675189952843383</v>
      </c>
      <c r="O447" s="1468">
        <v>1.1675189952843383</v>
      </c>
    </row>
    <row r="448" spans="2:15">
      <c r="B448" s="1384">
        <v>46054</v>
      </c>
      <c r="C448" s="1385" t="e">
        <v>#N/A</v>
      </c>
      <c r="D448" s="1385" t="e">
        <v>#N/A</v>
      </c>
      <c r="E448" s="1385" t="e">
        <v>#N/A</v>
      </c>
      <c r="F448" s="1385" t="e">
        <f t="shared" si="0"/>
        <v>#N/A</v>
      </c>
      <c r="K448" s="1465">
        <v>42505</v>
      </c>
      <c r="L448" s="1466"/>
      <c r="M448" s="1467">
        <v>0</v>
      </c>
      <c r="N448" s="1468">
        <v>1.1675189952843383</v>
      </c>
      <c r="O448" s="1468">
        <v>1.1675189952843383</v>
      </c>
    </row>
    <row r="449" spans="2:15">
      <c r="B449" s="1384">
        <v>46082</v>
      </c>
      <c r="C449" s="1385" t="e">
        <v>#N/A</v>
      </c>
      <c r="D449" s="1385" t="e">
        <v>#N/A</v>
      </c>
      <c r="E449" s="1385" t="e">
        <v>#N/A</v>
      </c>
      <c r="F449" s="1385" t="e">
        <f t="shared" si="0"/>
        <v>#N/A</v>
      </c>
      <c r="K449" s="1465">
        <v>42506</v>
      </c>
      <c r="L449" s="1466" t="s">
        <v>2127</v>
      </c>
      <c r="M449" s="1467">
        <v>5.2531000000000001E-2</v>
      </c>
      <c r="N449" s="1468">
        <v>1.1681323046877512</v>
      </c>
      <c r="O449" s="1468">
        <v>1.1681323046877512</v>
      </c>
    </row>
    <row r="450" spans="2:15">
      <c r="B450" s="1384">
        <v>46113</v>
      </c>
      <c r="C450" s="1385" t="e">
        <v>#N/A</v>
      </c>
      <c r="D450" s="1385" t="e">
        <v>#N/A</v>
      </c>
      <c r="E450" s="1385" t="e">
        <v>#N/A</v>
      </c>
      <c r="F450" s="1385" t="e">
        <f t="shared" si="0"/>
        <v>#N/A</v>
      </c>
      <c r="K450" s="1465">
        <v>42507</v>
      </c>
      <c r="L450" s="1466" t="s">
        <v>2127</v>
      </c>
      <c r="M450" s="1467">
        <v>5.2531000000000001E-2</v>
      </c>
      <c r="N450" s="1468">
        <v>1.1687459362687267</v>
      </c>
      <c r="O450" s="1468">
        <v>1.1687459362687267</v>
      </c>
    </row>
    <row r="451" spans="2:15">
      <c r="B451" s="1384">
        <v>46143</v>
      </c>
      <c r="C451" s="1385" t="e">
        <v>#N/A</v>
      </c>
      <c r="D451" s="1385" t="e">
        <v>#N/A</v>
      </c>
      <c r="E451" s="1385" t="e">
        <v>#N/A</v>
      </c>
      <c r="F451" s="1385" t="e">
        <f t="shared" si="0"/>
        <v>#N/A</v>
      </c>
      <c r="K451" s="1465">
        <v>42508</v>
      </c>
      <c r="L451" s="1466" t="s">
        <v>2127</v>
      </c>
      <c r="M451" s="1467">
        <v>5.2531000000000001E-2</v>
      </c>
      <c r="N451" s="1468">
        <v>1.1693598901965081</v>
      </c>
      <c r="O451" s="1468">
        <v>1.1693598901965081</v>
      </c>
    </row>
    <row r="452" spans="2:15">
      <c r="B452" s="1384">
        <v>46174</v>
      </c>
      <c r="C452" s="1385" t="e">
        <v>#N/A</v>
      </c>
      <c r="D452" s="1385" t="e">
        <v>#N/A</v>
      </c>
      <c r="E452" s="1385" t="e">
        <v>#N/A</v>
      </c>
      <c r="F452" s="1385" t="e">
        <f t="shared" si="0"/>
        <v>#N/A</v>
      </c>
      <c r="K452" s="1465">
        <v>42509</v>
      </c>
      <c r="L452" s="1466" t="s">
        <v>2127</v>
      </c>
      <c r="M452" s="1467">
        <v>5.2531000000000001E-2</v>
      </c>
      <c r="N452" s="1468">
        <v>1.1699741666404273</v>
      </c>
      <c r="O452" s="1468">
        <v>1.1699741666404273</v>
      </c>
    </row>
    <row r="453" spans="2:15">
      <c r="B453" s="1384">
        <v>46204</v>
      </c>
      <c r="C453" s="1385" t="e">
        <v>#N/A</v>
      </c>
      <c r="D453" s="1385" t="e">
        <v>#N/A</v>
      </c>
      <c r="E453" s="1385" t="e">
        <v>#N/A</v>
      </c>
      <c r="F453" s="1385" t="e">
        <f t="shared" si="0"/>
        <v>#N/A</v>
      </c>
      <c r="K453" s="1465">
        <v>42510</v>
      </c>
      <c r="L453" s="1466" t="s">
        <v>2127</v>
      </c>
      <c r="M453" s="1467">
        <v>5.2531000000000001E-2</v>
      </c>
      <c r="N453" s="1468">
        <v>1.1705887657699052</v>
      </c>
      <c r="O453" s="1468">
        <v>1.1705887657699052</v>
      </c>
    </row>
    <row r="454" spans="2:15">
      <c r="B454" s="1384">
        <v>46235</v>
      </c>
      <c r="C454" s="1385" t="e">
        <v>#N/A</v>
      </c>
      <c r="D454" s="1385" t="e">
        <v>#N/A</v>
      </c>
      <c r="E454" s="1385" t="e">
        <v>#N/A</v>
      </c>
      <c r="F454" s="1385" t="e">
        <f t="shared" si="0"/>
        <v>#N/A</v>
      </c>
      <c r="K454" s="1465">
        <v>42511</v>
      </c>
      <c r="L454" s="1466"/>
      <c r="M454" s="1467">
        <v>0</v>
      </c>
      <c r="N454" s="1468">
        <v>1.1705887657699052</v>
      </c>
      <c r="O454" s="1468">
        <v>1.1705887657699052</v>
      </c>
    </row>
    <row r="455" spans="2:15">
      <c r="B455" s="1384">
        <v>46266</v>
      </c>
      <c r="C455" s="1385" t="e">
        <v>#N/A</v>
      </c>
      <c r="D455" s="1385" t="e">
        <v>#N/A</v>
      </c>
      <c r="E455" s="1385" t="e">
        <v>#N/A</v>
      </c>
      <c r="F455" s="1385" t="e">
        <f t="shared" si="0"/>
        <v>#N/A</v>
      </c>
      <c r="K455" s="1465">
        <v>42512</v>
      </c>
      <c r="L455" s="1466"/>
      <c r="M455" s="1467">
        <v>0</v>
      </c>
      <c r="N455" s="1468">
        <v>1.1705887657699052</v>
      </c>
      <c r="O455" s="1468">
        <v>1.1705887657699052</v>
      </c>
    </row>
    <row r="456" spans="2:15">
      <c r="B456" s="1384">
        <v>46296</v>
      </c>
      <c r="C456" s="1385" t="e">
        <v>#N/A</v>
      </c>
      <c r="D456" s="1385" t="e">
        <v>#N/A</v>
      </c>
      <c r="E456" s="1385" t="e">
        <v>#N/A</v>
      </c>
      <c r="F456" s="1385" t="e">
        <f t="shared" si="0"/>
        <v>#N/A</v>
      </c>
      <c r="K456" s="1465">
        <v>42513</v>
      </c>
      <c r="L456" s="1466" t="s">
        <v>2127</v>
      </c>
      <c r="M456" s="1467">
        <v>5.2531000000000001E-2</v>
      </c>
      <c r="N456" s="1468">
        <v>1.1712036877544518</v>
      </c>
      <c r="O456" s="1468">
        <v>1.1712036877544518</v>
      </c>
    </row>
    <row r="457" spans="2:15">
      <c r="B457" s="1384">
        <v>46327</v>
      </c>
      <c r="C457" s="1385" t="e">
        <v>#N/A</v>
      </c>
      <c r="D457" s="1385" t="e">
        <v>#N/A</v>
      </c>
      <c r="E457" s="1385" t="e">
        <v>#N/A</v>
      </c>
      <c r="F457" s="1385" t="e">
        <f t="shared" si="0"/>
        <v>#N/A</v>
      </c>
      <c r="K457" s="1465">
        <v>42514</v>
      </c>
      <c r="L457" s="1466" t="s">
        <v>2127</v>
      </c>
      <c r="M457" s="1467">
        <v>5.2531000000000001E-2</v>
      </c>
      <c r="N457" s="1468">
        <v>1.1718189327636661</v>
      </c>
      <c r="O457" s="1468">
        <v>1.1718189327636661</v>
      </c>
    </row>
    <row r="458" spans="2:15">
      <c r="B458" s="1384">
        <v>46357</v>
      </c>
      <c r="C458" s="1385" t="e">
        <v>#N/A</v>
      </c>
      <c r="D458" s="1385" t="e">
        <v>#N/A</v>
      </c>
      <c r="E458" s="1385" t="e">
        <v>#N/A</v>
      </c>
      <c r="F458" s="1385" t="e">
        <f t="shared" si="0"/>
        <v>#N/A</v>
      </c>
      <c r="K458" s="1465">
        <v>42515</v>
      </c>
      <c r="L458" s="1466" t="s">
        <v>2127</v>
      </c>
      <c r="M458" s="1467">
        <v>5.2531000000000001E-2</v>
      </c>
      <c r="N458" s="1468">
        <v>1.1724345009672361</v>
      </c>
      <c r="O458" s="1468">
        <v>1.1724345009672361</v>
      </c>
    </row>
    <row r="459" spans="2:15">
      <c r="B459" s="1384">
        <v>46388</v>
      </c>
      <c r="C459" s="1385" t="e">
        <v>#N/A</v>
      </c>
      <c r="D459" s="1385" t="e">
        <v>#N/A</v>
      </c>
      <c r="E459" s="1385" t="e">
        <v>#N/A</v>
      </c>
      <c r="F459" s="1385" t="e">
        <f t="shared" si="0"/>
        <v>#N/A</v>
      </c>
      <c r="K459" s="1465">
        <v>42516</v>
      </c>
      <c r="L459" s="1466"/>
      <c r="M459" s="1467">
        <v>0</v>
      </c>
      <c r="N459" s="1468">
        <v>1.1724345009672361</v>
      </c>
      <c r="O459" s="1468">
        <v>1.1724345009672361</v>
      </c>
    </row>
    <row r="460" spans="2:15">
      <c r="B460" s="1384">
        <v>46419</v>
      </c>
      <c r="C460" s="1385" t="e">
        <v>#N/A</v>
      </c>
      <c r="D460" s="1385" t="e">
        <v>#N/A</v>
      </c>
      <c r="E460" s="1385" t="e">
        <v>#N/A</v>
      </c>
      <c r="F460" s="1385" t="e">
        <f t="shared" si="0"/>
        <v>#N/A</v>
      </c>
      <c r="K460" s="1465">
        <v>42517</v>
      </c>
      <c r="L460" s="1466" t="s">
        <v>2127</v>
      </c>
      <c r="M460" s="1467">
        <v>5.2531000000000001E-2</v>
      </c>
      <c r="N460" s="1468">
        <v>1.1730503925349391</v>
      </c>
      <c r="O460" s="1468">
        <v>1.1730503925349391</v>
      </c>
    </row>
    <row r="461" spans="2:15">
      <c r="B461" s="1384">
        <v>46447</v>
      </c>
      <c r="C461" s="1385" t="e">
        <v>#N/A</v>
      </c>
      <c r="D461" s="1385" t="e">
        <v>#N/A</v>
      </c>
      <c r="E461" s="1385" t="e">
        <v>#N/A</v>
      </c>
      <c r="F461" s="1385" t="e">
        <f t="shared" si="0"/>
        <v>#N/A</v>
      </c>
      <c r="K461" s="1465">
        <v>42518</v>
      </c>
      <c r="L461" s="1466"/>
      <c r="M461" s="1467">
        <v>0</v>
      </c>
      <c r="N461" s="1468">
        <v>1.1730503925349391</v>
      </c>
      <c r="O461" s="1468">
        <v>1.1730503925349391</v>
      </c>
    </row>
    <row r="462" spans="2:15">
      <c r="B462" s="1384">
        <v>46478</v>
      </c>
      <c r="C462" s="1385" t="e">
        <v>#N/A</v>
      </c>
      <c r="D462" s="1385" t="e">
        <v>#N/A</v>
      </c>
      <c r="E462" s="1385" t="e">
        <v>#N/A</v>
      </c>
      <c r="F462" s="1385" t="e">
        <f t="shared" si="0"/>
        <v>#N/A</v>
      </c>
      <c r="K462" s="1465">
        <v>42519</v>
      </c>
      <c r="L462" s="1466"/>
      <c r="M462" s="1467">
        <v>0</v>
      </c>
      <c r="N462" s="1468">
        <v>1.1730503925349391</v>
      </c>
      <c r="O462" s="1468">
        <v>1.1730503925349391</v>
      </c>
    </row>
    <row r="463" spans="2:15">
      <c r="B463" s="1384">
        <v>46508</v>
      </c>
      <c r="C463" s="1385" t="e">
        <v>#N/A</v>
      </c>
      <c r="D463" s="1385" t="e">
        <v>#N/A</v>
      </c>
      <c r="E463" s="1385" t="e">
        <v>#N/A</v>
      </c>
      <c r="F463" s="1385" t="e">
        <f t="shared" si="0"/>
        <v>#N/A</v>
      </c>
      <c r="K463" s="1465">
        <v>42520</v>
      </c>
      <c r="L463" s="1466" t="s">
        <v>2127</v>
      </c>
      <c r="M463" s="1467">
        <v>5.2531000000000001E-2</v>
      </c>
      <c r="N463" s="1468">
        <v>1.1736666076366418</v>
      </c>
      <c r="O463" s="1468">
        <v>1.1736666076366418</v>
      </c>
    </row>
    <row r="464" spans="2:15">
      <c r="B464" s="1384">
        <v>46539</v>
      </c>
      <c r="C464" s="1385" t="e">
        <v>#N/A</v>
      </c>
      <c r="D464" s="1385" t="e">
        <v>#N/A</v>
      </c>
      <c r="E464" s="1385" t="e">
        <v>#N/A</v>
      </c>
      <c r="F464" s="1385" t="e">
        <f t="shared" si="0"/>
        <v>#N/A</v>
      </c>
      <c r="K464" s="1465">
        <v>42521</v>
      </c>
      <c r="L464" s="1466" t="s">
        <v>2127</v>
      </c>
      <c r="M464" s="1467">
        <v>5.2531000000000001E-2</v>
      </c>
      <c r="N464" s="1468">
        <v>1.1742831464422994</v>
      </c>
      <c r="O464" s="1468">
        <v>1.1742831464422994</v>
      </c>
    </row>
    <row r="465" spans="2:15">
      <c r="B465" s="1384">
        <v>46569</v>
      </c>
      <c r="C465" s="1385" t="e">
        <v>#N/A</v>
      </c>
      <c r="D465" s="1385" t="e">
        <v>#N/A</v>
      </c>
      <c r="E465" s="1385" t="e">
        <v>#N/A</v>
      </c>
      <c r="F465" s="1385" t="e">
        <f t="shared" si="0"/>
        <v>#N/A</v>
      </c>
      <c r="K465" s="1465">
        <v>42522</v>
      </c>
      <c r="L465" s="1466" t="s">
        <v>2127</v>
      </c>
      <c r="M465" s="1467">
        <v>5.2531000000000001E-2</v>
      </c>
      <c r="N465" s="1468">
        <v>1.174900009121957</v>
      </c>
      <c r="O465" s="1468">
        <v>1.174900009121957</v>
      </c>
    </row>
    <row r="466" spans="2:15">
      <c r="B466" s="1384">
        <v>46600</v>
      </c>
      <c r="C466" s="1385" t="e">
        <v>#N/A</v>
      </c>
      <c r="D466" s="1385" t="e">
        <v>#N/A</v>
      </c>
      <c r="E466" s="1385" t="e">
        <v>#N/A</v>
      </c>
      <c r="F466" s="1385" t="e">
        <f t="shared" si="0"/>
        <v>#N/A</v>
      </c>
      <c r="K466" s="1465">
        <v>42523</v>
      </c>
      <c r="L466" s="1466" t="s">
        <v>2127</v>
      </c>
      <c r="M466" s="1467">
        <v>5.2531000000000001E-2</v>
      </c>
      <c r="N466" s="1468">
        <v>1.1755171958457489</v>
      </c>
      <c r="O466" s="1468">
        <v>1.1755171958457489</v>
      </c>
    </row>
    <row r="467" spans="2:15">
      <c r="B467" s="1384">
        <v>46631</v>
      </c>
      <c r="C467" s="1385" t="e">
        <v>#N/A</v>
      </c>
      <c r="D467" s="1385" t="e">
        <v>#N/A</v>
      </c>
      <c r="E467" s="1385" t="e">
        <v>#N/A</v>
      </c>
      <c r="F467" s="1385" t="e">
        <f t="shared" si="0"/>
        <v>#N/A</v>
      </c>
      <c r="K467" s="1465">
        <v>42524</v>
      </c>
      <c r="L467" s="1466" t="s">
        <v>2127</v>
      </c>
      <c r="M467" s="1467">
        <v>5.2531000000000001E-2</v>
      </c>
      <c r="N467" s="1468">
        <v>1.1761347067838985</v>
      </c>
      <c r="O467" s="1468">
        <v>1.1761347067838985</v>
      </c>
    </row>
    <row r="468" spans="2:15">
      <c r="B468" s="1384">
        <v>46661</v>
      </c>
      <c r="C468" s="1385" t="e">
        <v>#N/A</v>
      </c>
      <c r="D468" s="1385" t="e">
        <v>#N/A</v>
      </c>
      <c r="E468" s="1385" t="e">
        <v>#N/A</v>
      </c>
      <c r="F468" s="1385" t="e">
        <f t="shared" si="0"/>
        <v>#N/A</v>
      </c>
      <c r="K468" s="1465">
        <v>42525</v>
      </c>
      <c r="L468" s="1466"/>
      <c r="M468" s="1467">
        <v>0</v>
      </c>
      <c r="N468" s="1468">
        <v>1.1761347067838985</v>
      </c>
      <c r="O468" s="1468">
        <v>1.1761347067838985</v>
      </c>
    </row>
    <row r="469" spans="2:15">
      <c r="B469" s="1384">
        <v>46692</v>
      </c>
      <c r="C469" s="1385" t="e">
        <v>#N/A</v>
      </c>
      <c r="D469" s="1385" t="e">
        <v>#N/A</v>
      </c>
      <c r="E469" s="1385" t="e">
        <v>#N/A</v>
      </c>
      <c r="F469" s="1385" t="e">
        <f t="shared" si="0"/>
        <v>#N/A</v>
      </c>
      <c r="K469" s="1465">
        <v>42526</v>
      </c>
      <c r="L469" s="1466"/>
      <c r="M469" s="1467">
        <v>0</v>
      </c>
      <c r="N469" s="1468">
        <v>1.1761347067838985</v>
      </c>
      <c r="O469" s="1468">
        <v>1.1761347067838985</v>
      </c>
    </row>
    <row r="470" spans="2:15">
      <c r="B470" s="1384">
        <v>46722</v>
      </c>
      <c r="C470" s="1385" t="e">
        <v>#N/A</v>
      </c>
      <c r="D470" s="1385" t="e">
        <v>#N/A</v>
      </c>
      <c r="E470" s="1385" t="e">
        <v>#N/A</v>
      </c>
      <c r="F470" s="1385" t="e">
        <f t="shared" si="0"/>
        <v>#N/A</v>
      </c>
      <c r="K470" s="1465">
        <v>42527</v>
      </c>
      <c r="L470" s="1466" t="s">
        <v>2127</v>
      </c>
      <c r="M470" s="1467">
        <v>5.2531000000000001E-2</v>
      </c>
      <c r="N470" s="1468">
        <v>1.1767525421067191</v>
      </c>
      <c r="O470" s="1468">
        <v>1.1767525421067191</v>
      </c>
    </row>
    <row r="471" spans="2:15">
      <c r="B471" s="1384">
        <v>46753</v>
      </c>
      <c r="C471" s="1385" t="e">
        <v>#N/A</v>
      </c>
      <c r="D471" s="1385" t="e">
        <v>#N/A</v>
      </c>
      <c r="E471" s="1385" t="e">
        <v>#N/A</v>
      </c>
      <c r="F471" s="1385" t="e">
        <f t="shared" si="0"/>
        <v>#N/A</v>
      </c>
      <c r="K471" s="1465">
        <v>42528</v>
      </c>
      <c r="L471" s="1466" t="s">
        <v>2127</v>
      </c>
      <c r="M471" s="1467">
        <v>5.2531000000000001E-2</v>
      </c>
      <c r="N471" s="1468">
        <v>1.1773707019846131</v>
      </c>
      <c r="O471" s="1468">
        <v>1.1773707019846131</v>
      </c>
    </row>
    <row r="472" spans="2:15">
      <c r="B472" s="1384">
        <v>46784</v>
      </c>
      <c r="C472" s="1385" t="e">
        <v>#N/A</v>
      </c>
      <c r="D472" s="1385" t="e">
        <v>#N/A</v>
      </c>
      <c r="E472" s="1385" t="e">
        <v>#N/A</v>
      </c>
      <c r="F472" s="1385" t="e">
        <f t="shared" si="0"/>
        <v>#N/A</v>
      </c>
      <c r="K472" s="1465">
        <v>42529</v>
      </c>
      <c r="L472" s="1466" t="s">
        <v>2127</v>
      </c>
      <c r="M472" s="1467">
        <v>5.2531000000000001E-2</v>
      </c>
      <c r="N472" s="1468">
        <v>1.1779891865880727</v>
      </c>
      <c r="O472" s="1468">
        <v>1.1779891865880727</v>
      </c>
    </row>
    <row r="473" spans="2:15">
      <c r="B473" s="1384">
        <v>46813</v>
      </c>
      <c r="C473" s="1385" t="e">
        <v>#N/A</v>
      </c>
      <c r="D473" s="1385" t="e">
        <v>#N/A</v>
      </c>
      <c r="E473" s="1385" t="e">
        <v>#N/A</v>
      </c>
      <c r="F473" s="1385" t="e">
        <f t="shared" si="0"/>
        <v>#N/A</v>
      </c>
      <c r="K473" s="1465">
        <v>42530</v>
      </c>
      <c r="L473" s="1466" t="s">
        <v>2127</v>
      </c>
      <c r="M473" s="1467">
        <v>5.2531000000000001E-2</v>
      </c>
      <c r="N473" s="1468">
        <v>1.1786079960876794</v>
      </c>
      <c r="O473" s="1468">
        <v>1.1786079960876794</v>
      </c>
    </row>
    <row r="474" spans="2:15">
      <c r="B474" s="1384">
        <v>46844</v>
      </c>
      <c r="C474" s="1385" t="e">
        <v>#N/A</v>
      </c>
      <c r="D474" s="1385" t="e">
        <v>#N/A</v>
      </c>
      <c r="E474" s="1385" t="e">
        <v>#N/A</v>
      </c>
      <c r="F474" s="1385" t="e">
        <f t="shared" si="0"/>
        <v>#N/A</v>
      </c>
      <c r="K474" s="1465">
        <v>42531</v>
      </c>
      <c r="L474" s="1466" t="s">
        <v>2127</v>
      </c>
      <c r="M474" s="1467">
        <v>5.2531000000000001E-2</v>
      </c>
      <c r="N474" s="1468">
        <v>1.1792271306541042</v>
      </c>
      <c r="O474" s="1468">
        <v>1.1792271306541042</v>
      </c>
    </row>
    <row r="475" spans="2:15">
      <c r="B475" s="1384">
        <v>46874</v>
      </c>
      <c r="C475" s="1385" t="e">
        <v>#N/A</v>
      </c>
      <c r="D475" s="1385" t="e">
        <v>#N/A</v>
      </c>
      <c r="E475" s="1385" t="e">
        <v>#N/A</v>
      </c>
      <c r="F475" s="1385" t="e">
        <f t="shared" si="0"/>
        <v>#N/A</v>
      </c>
      <c r="K475" s="1465">
        <v>42532</v>
      </c>
      <c r="L475" s="1466"/>
      <c r="M475" s="1467">
        <v>0</v>
      </c>
      <c r="N475" s="1468">
        <v>1.1792271306541042</v>
      </c>
      <c r="O475" s="1468">
        <v>1.1792271306541042</v>
      </c>
    </row>
    <row r="476" spans="2:15">
      <c r="B476" s="1384">
        <v>46905</v>
      </c>
      <c r="C476" s="1385" t="e">
        <v>#N/A</v>
      </c>
      <c r="D476" s="1385" t="e">
        <v>#N/A</v>
      </c>
      <c r="E476" s="1385" t="e">
        <v>#N/A</v>
      </c>
      <c r="F476" s="1385" t="e">
        <f t="shared" si="0"/>
        <v>#N/A</v>
      </c>
      <c r="K476" s="1465">
        <v>42533</v>
      </c>
      <c r="L476" s="1466"/>
      <c r="M476" s="1467">
        <v>0</v>
      </c>
      <c r="N476" s="1468">
        <v>1.1792271306541042</v>
      </c>
      <c r="O476" s="1468">
        <v>1.1792271306541042</v>
      </c>
    </row>
    <row r="477" spans="2:15">
      <c r="B477" s="1384">
        <v>46935</v>
      </c>
      <c r="C477" s="1385" t="e">
        <v>#N/A</v>
      </c>
      <c r="D477" s="1385" t="e">
        <v>#N/A</v>
      </c>
      <c r="E477" s="1385" t="e">
        <v>#N/A</v>
      </c>
      <c r="F477" s="1385" t="e">
        <f t="shared" si="0"/>
        <v>#N/A</v>
      </c>
      <c r="K477" s="1465">
        <v>42534</v>
      </c>
      <c r="L477" s="1466" t="s">
        <v>2127</v>
      </c>
      <c r="M477" s="1467">
        <v>5.2531000000000001E-2</v>
      </c>
      <c r="N477" s="1468">
        <v>1.1798465904581081</v>
      </c>
      <c r="O477" s="1468">
        <v>1.1798465904581081</v>
      </c>
    </row>
    <row r="478" spans="2:15">
      <c r="B478" s="1384">
        <v>46966</v>
      </c>
      <c r="C478" s="1385" t="e">
        <v>#N/A</v>
      </c>
      <c r="D478" s="1385" t="e">
        <v>#N/A</v>
      </c>
      <c r="E478" s="1385" t="e">
        <v>#N/A</v>
      </c>
      <c r="F478" s="1385" t="e">
        <f t="shared" si="0"/>
        <v>#N/A</v>
      </c>
      <c r="K478" s="1465">
        <v>42535</v>
      </c>
      <c r="L478" s="1466" t="s">
        <v>2127</v>
      </c>
      <c r="M478" s="1467">
        <v>5.2531000000000001E-2</v>
      </c>
      <c r="N478" s="1468">
        <v>1.1804663756705416</v>
      </c>
      <c r="O478" s="1468">
        <v>1.1804663756705416</v>
      </c>
    </row>
    <row r="479" spans="2:15">
      <c r="B479" s="1384">
        <v>46997</v>
      </c>
      <c r="C479" s="1385" t="e">
        <v>#N/A</v>
      </c>
      <c r="D479" s="1385" t="e">
        <v>#N/A</v>
      </c>
      <c r="E479" s="1385" t="e">
        <v>#N/A</v>
      </c>
      <c r="F479" s="1385" t="e">
        <f t="shared" si="0"/>
        <v>#N/A</v>
      </c>
      <c r="K479" s="1465">
        <v>42536</v>
      </c>
      <c r="L479" s="1466" t="s">
        <v>2127</v>
      </c>
      <c r="M479" s="1467">
        <v>5.2531000000000001E-2</v>
      </c>
      <c r="N479" s="1468">
        <v>1.1810864864623452</v>
      </c>
      <c r="O479" s="1468">
        <v>1.1810864864623452</v>
      </c>
    </row>
    <row r="480" spans="2:15">
      <c r="B480" s="1384">
        <v>47027</v>
      </c>
      <c r="C480" s="1385" t="e">
        <v>#N/A</v>
      </c>
      <c r="D480" s="1385" t="e">
        <v>#N/A</v>
      </c>
      <c r="E480" s="1385" t="e">
        <v>#N/A</v>
      </c>
      <c r="F480" s="1385" t="e">
        <f t="shared" si="0"/>
        <v>#N/A</v>
      </c>
      <c r="K480" s="1465">
        <v>42537</v>
      </c>
      <c r="L480" s="1466" t="s">
        <v>2127</v>
      </c>
      <c r="M480" s="1467">
        <v>5.2531000000000001E-2</v>
      </c>
      <c r="N480" s="1468">
        <v>1.1817069230045487</v>
      </c>
      <c r="O480" s="1468">
        <v>1.1817069230045487</v>
      </c>
    </row>
    <row r="481" spans="2:15">
      <c r="B481" s="1384">
        <v>47058</v>
      </c>
      <c r="C481" s="1385" t="e">
        <v>#N/A</v>
      </c>
      <c r="D481" s="1385" t="e">
        <v>#N/A</v>
      </c>
      <c r="E481" s="1385" t="e">
        <v>#N/A</v>
      </c>
      <c r="F481" s="1385" t="e">
        <f t="shared" si="0"/>
        <v>#N/A</v>
      </c>
      <c r="K481" s="1465">
        <v>42538</v>
      </c>
      <c r="L481" s="1466" t="s">
        <v>2127</v>
      </c>
      <c r="M481" s="1467">
        <v>5.2531000000000001E-2</v>
      </c>
      <c r="N481" s="1468">
        <v>1.1823276854682723</v>
      </c>
      <c r="O481" s="1468">
        <v>1.1823276854682723</v>
      </c>
    </row>
    <row r="482" spans="2:15">
      <c r="B482" s="1384">
        <v>47088</v>
      </c>
      <c r="C482" s="1385" t="e">
        <v>#N/A</v>
      </c>
      <c r="D482" s="1385" t="e">
        <v>#N/A</v>
      </c>
      <c r="E482" s="1385" t="e">
        <v>#N/A</v>
      </c>
      <c r="F482" s="1385" t="e">
        <f t="shared" si="0"/>
        <v>#N/A</v>
      </c>
      <c r="K482" s="1465">
        <v>42539</v>
      </c>
      <c r="L482" s="1466"/>
      <c r="M482" s="1467">
        <v>0</v>
      </c>
      <c r="N482" s="1468">
        <v>1.1823276854682723</v>
      </c>
      <c r="O482" s="1468">
        <v>1.1823276854682723</v>
      </c>
    </row>
    <row r="483" spans="2:15">
      <c r="B483" s="1384">
        <v>47119</v>
      </c>
      <c r="C483" s="1385" t="e">
        <v>#N/A</v>
      </c>
      <c r="D483" s="1385" t="e">
        <v>#N/A</v>
      </c>
      <c r="E483" s="1385" t="e">
        <v>#N/A</v>
      </c>
      <c r="F483" s="1385" t="e">
        <f t="shared" si="0"/>
        <v>#N/A</v>
      </c>
      <c r="K483" s="1465">
        <v>42540</v>
      </c>
      <c r="L483" s="1466"/>
      <c r="M483" s="1467">
        <v>0</v>
      </c>
      <c r="N483" s="1468">
        <v>1.1823276854682723</v>
      </c>
      <c r="O483" s="1468">
        <v>1.1823276854682723</v>
      </c>
    </row>
    <row r="484" spans="2:15">
      <c r="B484" s="1384">
        <v>47150</v>
      </c>
      <c r="C484" s="1385" t="e">
        <v>#N/A</v>
      </c>
      <c r="D484" s="1385" t="e">
        <v>#N/A</v>
      </c>
      <c r="E484" s="1385" t="e">
        <v>#N/A</v>
      </c>
      <c r="F484" s="1385" t="e">
        <f t="shared" ref="F484:F500" si="1">F483*E484</f>
        <v>#N/A</v>
      </c>
      <c r="K484" s="1465">
        <v>42541</v>
      </c>
      <c r="L484" s="1466" t="s">
        <v>2127</v>
      </c>
      <c r="M484" s="1467">
        <v>5.2531000000000001E-2</v>
      </c>
      <c r="N484" s="1468">
        <v>1.1829487740247255</v>
      </c>
      <c r="O484" s="1468">
        <v>1.1829487740247255</v>
      </c>
    </row>
    <row r="485" spans="2:15">
      <c r="B485" s="1384">
        <v>47178</v>
      </c>
      <c r="C485" s="1385" t="e">
        <v>#N/A</v>
      </c>
      <c r="D485" s="1385" t="e">
        <v>#N/A</v>
      </c>
      <c r="E485" s="1385" t="e">
        <v>#N/A</v>
      </c>
      <c r="F485" s="1385" t="e">
        <f t="shared" si="1"/>
        <v>#N/A</v>
      </c>
      <c r="K485" s="1465">
        <v>42542</v>
      </c>
      <c r="L485" s="1466" t="s">
        <v>2127</v>
      </c>
      <c r="M485" s="1467">
        <v>5.2531000000000001E-2</v>
      </c>
      <c r="N485" s="1468">
        <v>1.1835701888452084</v>
      </c>
      <c r="O485" s="1468">
        <v>1.1835701888452084</v>
      </c>
    </row>
    <row r="486" spans="2:15">
      <c r="B486" s="1384">
        <v>47209</v>
      </c>
      <c r="C486" s="1385" t="e">
        <v>#N/A</v>
      </c>
      <c r="D486" s="1385" t="e">
        <v>#N/A</v>
      </c>
      <c r="E486" s="1385" t="e">
        <v>#N/A</v>
      </c>
      <c r="F486" s="1385" t="e">
        <f t="shared" si="1"/>
        <v>#N/A</v>
      </c>
      <c r="K486" s="1465">
        <v>42543</v>
      </c>
      <c r="L486" s="1466" t="s">
        <v>2127</v>
      </c>
      <c r="M486" s="1467">
        <v>5.2531000000000001E-2</v>
      </c>
      <c r="N486" s="1468">
        <v>1.1841919301011106</v>
      </c>
      <c r="O486" s="1468">
        <v>1.1841919301011106</v>
      </c>
    </row>
    <row r="487" spans="2:15">
      <c r="B487" s="1384">
        <v>47239</v>
      </c>
      <c r="C487" s="1385" t="e">
        <v>#N/A</v>
      </c>
      <c r="D487" s="1385" t="e">
        <v>#N/A</v>
      </c>
      <c r="E487" s="1385" t="e">
        <v>#N/A</v>
      </c>
      <c r="F487" s="1385" t="e">
        <f t="shared" si="1"/>
        <v>#N/A</v>
      </c>
      <c r="K487" s="1465">
        <v>42544</v>
      </c>
      <c r="L487" s="1466" t="s">
        <v>2127</v>
      </c>
      <c r="M487" s="1467">
        <v>5.2531000000000001E-2</v>
      </c>
      <c r="N487" s="1468">
        <v>1.1848139979639121</v>
      </c>
      <c r="O487" s="1468">
        <v>1.1848139979639121</v>
      </c>
    </row>
    <row r="488" spans="2:15">
      <c r="B488" s="1384">
        <v>47270</v>
      </c>
      <c r="C488" s="1385" t="e">
        <v>#N/A</v>
      </c>
      <c r="D488" s="1385" t="e">
        <v>#N/A</v>
      </c>
      <c r="E488" s="1385" t="e">
        <v>#N/A</v>
      </c>
      <c r="F488" s="1385" t="e">
        <f t="shared" si="1"/>
        <v>#N/A</v>
      </c>
      <c r="K488" s="1465">
        <v>42545</v>
      </c>
      <c r="L488" s="1466" t="s">
        <v>2127</v>
      </c>
      <c r="M488" s="1467">
        <v>5.2531000000000001E-2</v>
      </c>
      <c r="N488" s="1468">
        <v>1.1854363926051825</v>
      </c>
      <c r="O488" s="1468">
        <v>1.1854363926051825</v>
      </c>
    </row>
    <row r="489" spans="2:15">
      <c r="B489" s="1384">
        <v>47300</v>
      </c>
      <c r="C489" s="1385" t="e">
        <v>#N/A</v>
      </c>
      <c r="D489" s="1385" t="e">
        <v>#N/A</v>
      </c>
      <c r="E489" s="1385" t="e">
        <v>#N/A</v>
      </c>
      <c r="F489" s="1385" t="e">
        <f t="shared" si="1"/>
        <v>#N/A</v>
      </c>
      <c r="K489" s="1465">
        <v>42546</v>
      </c>
      <c r="L489" s="1466"/>
      <c r="M489" s="1467">
        <v>0</v>
      </c>
      <c r="N489" s="1468">
        <v>1.1854363926051825</v>
      </c>
      <c r="O489" s="1468">
        <v>1.1854363926051825</v>
      </c>
    </row>
    <row r="490" spans="2:15">
      <c r="B490" s="1384">
        <v>47331</v>
      </c>
      <c r="C490" s="1385" t="e">
        <v>#N/A</v>
      </c>
      <c r="D490" s="1385" t="e">
        <v>#N/A</v>
      </c>
      <c r="E490" s="1385" t="e">
        <v>#N/A</v>
      </c>
      <c r="F490" s="1385" t="e">
        <f t="shared" si="1"/>
        <v>#N/A</v>
      </c>
      <c r="K490" s="1465">
        <v>42547</v>
      </c>
      <c r="L490" s="1466"/>
      <c r="M490" s="1467">
        <v>0</v>
      </c>
      <c r="N490" s="1468">
        <v>1.1854363926051825</v>
      </c>
      <c r="O490" s="1468">
        <v>1.1854363926051825</v>
      </c>
    </row>
    <row r="491" spans="2:15">
      <c r="B491" s="1384">
        <v>47362</v>
      </c>
      <c r="C491" s="1385" t="e">
        <v>#N/A</v>
      </c>
      <c r="D491" s="1385" t="e">
        <v>#N/A</v>
      </c>
      <c r="E491" s="1385" t="e">
        <v>#N/A</v>
      </c>
      <c r="F491" s="1385" t="e">
        <f t="shared" si="1"/>
        <v>#N/A</v>
      </c>
      <c r="K491" s="1465">
        <v>42548</v>
      </c>
      <c r="L491" s="1466" t="s">
        <v>2127</v>
      </c>
      <c r="M491" s="1467">
        <v>5.2531000000000001E-2</v>
      </c>
      <c r="N491" s="1468">
        <v>1.1860591141965819</v>
      </c>
      <c r="O491" s="1468">
        <v>1.1860591141965819</v>
      </c>
    </row>
    <row r="492" spans="2:15">
      <c r="B492" s="1384">
        <v>47392</v>
      </c>
      <c r="C492" s="1385" t="e">
        <v>#N/A</v>
      </c>
      <c r="D492" s="1385" t="e">
        <v>#N/A</v>
      </c>
      <c r="E492" s="1385" t="e">
        <v>#N/A</v>
      </c>
      <c r="F492" s="1385" t="e">
        <f t="shared" si="1"/>
        <v>#N/A</v>
      </c>
      <c r="K492" s="1465">
        <v>42549</v>
      </c>
      <c r="L492" s="1466" t="s">
        <v>2127</v>
      </c>
      <c r="M492" s="1467">
        <v>5.2531000000000001E-2</v>
      </c>
      <c r="N492" s="1468">
        <v>1.1866821629098605</v>
      </c>
      <c r="O492" s="1468">
        <v>1.1866821629098605</v>
      </c>
    </row>
    <row r="493" spans="2:15">
      <c r="B493" s="1384">
        <v>47423</v>
      </c>
      <c r="C493" s="1385" t="e">
        <v>#N/A</v>
      </c>
      <c r="D493" s="1385" t="e">
        <v>#N/A</v>
      </c>
      <c r="E493" s="1385" t="e">
        <v>#N/A</v>
      </c>
      <c r="F493" s="1385" t="e">
        <f t="shared" si="1"/>
        <v>#N/A</v>
      </c>
      <c r="K493" s="1465">
        <v>42550</v>
      </c>
      <c r="L493" s="1466" t="s">
        <v>2127</v>
      </c>
      <c r="M493" s="1467">
        <v>5.2531000000000001E-2</v>
      </c>
      <c r="N493" s="1468">
        <v>1.1873055389168587</v>
      </c>
      <c r="O493" s="1468">
        <v>1.1873055389168587</v>
      </c>
    </row>
    <row r="494" spans="2:15">
      <c r="B494" s="1384">
        <v>47453</v>
      </c>
      <c r="C494" s="1385" t="e">
        <v>#N/A</v>
      </c>
      <c r="D494" s="1385" t="e">
        <v>#N/A</v>
      </c>
      <c r="E494" s="1385" t="e">
        <v>#N/A</v>
      </c>
      <c r="F494" s="1385" t="e">
        <f t="shared" si="1"/>
        <v>#N/A</v>
      </c>
      <c r="K494" s="1465">
        <v>42551</v>
      </c>
      <c r="L494" s="1466" t="s">
        <v>2127</v>
      </c>
      <c r="M494" s="1467">
        <v>5.2531000000000001E-2</v>
      </c>
      <c r="N494" s="1468">
        <v>1.1879292423895071</v>
      </c>
      <c r="O494" s="1468">
        <v>1.1879292423895071</v>
      </c>
    </row>
    <row r="495" spans="2:15">
      <c r="B495" s="1384">
        <v>47484</v>
      </c>
      <c r="C495" s="1385" t="e">
        <v>#N/A</v>
      </c>
      <c r="D495" s="1385" t="e">
        <v>#N/A</v>
      </c>
      <c r="E495" s="1385" t="e">
        <v>#N/A</v>
      </c>
      <c r="F495" s="1385" t="e">
        <f t="shared" si="1"/>
        <v>#N/A</v>
      </c>
      <c r="K495" s="1465">
        <v>42552</v>
      </c>
      <c r="L495" s="1466" t="s">
        <v>2127</v>
      </c>
      <c r="M495" s="1467">
        <v>5.2531000000000001E-2</v>
      </c>
      <c r="N495" s="1468">
        <v>1.1885532734998268</v>
      </c>
      <c r="O495" s="1468">
        <v>1.1885532734998268</v>
      </c>
    </row>
    <row r="496" spans="2:15">
      <c r="B496" s="1384">
        <v>47515</v>
      </c>
      <c r="C496" s="1385" t="e">
        <v>#N/A</v>
      </c>
      <c r="D496" s="1385" t="e">
        <v>#N/A</v>
      </c>
      <c r="E496" s="1385" t="e">
        <v>#N/A</v>
      </c>
      <c r="F496" s="1385" t="e">
        <f t="shared" si="1"/>
        <v>#N/A</v>
      </c>
      <c r="K496" s="1465">
        <v>42553</v>
      </c>
      <c r="L496" s="1466"/>
      <c r="M496" s="1467">
        <v>0</v>
      </c>
      <c r="N496" s="1468">
        <v>1.1885532734998268</v>
      </c>
      <c r="O496" s="1468">
        <v>1.1885532734998268</v>
      </c>
    </row>
    <row r="497" spans="2:15">
      <c r="B497" s="1384">
        <v>47543</v>
      </c>
      <c r="C497" s="1385" t="e">
        <v>#N/A</v>
      </c>
      <c r="D497" s="1385" t="e">
        <v>#N/A</v>
      </c>
      <c r="E497" s="1385" t="e">
        <v>#N/A</v>
      </c>
      <c r="F497" s="1385" t="e">
        <f t="shared" si="1"/>
        <v>#N/A</v>
      </c>
      <c r="K497" s="1465">
        <v>42554</v>
      </c>
      <c r="L497" s="1466"/>
      <c r="M497" s="1467">
        <v>0</v>
      </c>
      <c r="N497" s="1468">
        <v>1.1885532734998268</v>
      </c>
      <c r="O497" s="1468">
        <v>1.1885532734998268</v>
      </c>
    </row>
    <row r="498" spans="2:15">
      <c r="B498" s="1384">
        <v>47574</v>
      </c>
      <c r="C498" s="1385" t="e">
        <v>#N/A</v>
      </c>
      <c r="D498" s="1385" t="e">
        <v>#N/A</v>
      </c>
      <c r="E498" s="1385" t="e">
        <v>#N/A</v>
      </c>
      <c r="F498" s="1385" t="e">
        <f t="shared" si="1"/>
        <v>#N/A</v>
      </c>
      <c r="K498" s="1465">
        <v>42555</v>
      </c>
      <c r="L498" s="1466" t="s">
        <v>2127</v>
      </c>
      <c r="M498" s="1467">
        <v>5.2531000000000001E-2</v>
      </c>
      <c r="N498" s="1468">
        <v>1.189177632419929</v>
      </c>
      <c r="O498" s="1468">
        <v>1.189177632419929</v>
      </c>
    </row>
    <row r="499" spans="2:15">
      <c r="B499" s="1384">
        <v>47604</v>
      </c>
      <c r="C499" s="1385" t="e">
        <v>#N/A</v>
      </c>
      <c r="D499" s="1385" t="e">
        <v>#N/A</v>
      </c>
      <c r="E499" s="1385" t="e">
        <v>#N/A</v>
      </c>
      <c r="F499" s="1385" t="e">
        <f t="shared" si="1"/>
        <v>#N/A</v>
      </c>
      <c r="K499" s="1465">
        <v>42556</v>
      </c>
      <c r="L499" s="1466" t="s">
        <v>2127</v>
      </c>
      <c r="M499" s="1467">
        <v>5.2531000000000001E-2</v>
      </c>
      <c r="N499" s="1468">
        <v>1.1898023193220155</v>
      </c>
      <c r="O499" s="1468">
        <v>1.1898023193220155</v>
      </c>
    </row>
    <row r="500" spans="2:15">
      <c r="B500" s="1384">
        <v>47635</v>
      </c>
      <c r="C500" s="1385" t="e">
        <v>#N/A</v>
      </c>
      <c r="D500" s="1385" t="e">
        <v>#N/A</v>
      </c>
      <c r="E500" s="1385" t="e">
        <v>#N/A</v>
      </c>
      <c r="F500" s="1385" t="e">
        <f t="shared" si="1"/>
        <v>#N/A</v>
      </c>
      <c r="K500" s="1465">
        <v>42557</v>
      </c>
      <c r="L500" s="1466" t="s">
        <v>2127</v>
      </c>
      <c r="M500" s="1467">
        <v>5.2531000000000001E-2</v>
      </c>
      <c r="N500" s="1468">
        <v>1.1904273343783787</v>
      </c>
      <c r="O500" s="1468">
        <v>1.1904273343783787</v>
      </c>
    </row>
    <row r="501" spans="2:15">
      <c r="K501" s="1465">
        <v>42558</v>
      </c>
      <c r="L501" s="1466" t="s">
        <v>2127</v>
      </c>
      <c r="M501" s="1467">
        <v>5.2531000000000001E-2</v>
      </c>
      <c r="N501" s="1468">
        <v>1.191052677761401</v>
      </c>
      <c r="O501" s="1468">
        <v>1.191052677761401</v>
      </c>
    </row>
    <row r="502" spans="2:15">
      <c r="K502" s="1465">
        <v>42559</v>
      </c>
      <c r="L502" s="1466" t="s">
        <v>2127</v>
      </c>
      <c r="M502" s="1467">
        <v>5.2531000000000001E-2</v>
      </c>
      <c r="N502" s="1468">
        <v>1.1916783496435559</v>
      </c>
      <c r="O502" s="1468">
        <v>1.1916783496435559</v>
      </c>
    </row>
    <row r="503" spans="2:15">
      <c r="K503" s="1465">
        <v>42560</v>
      </c>
      <c r="L503" s="1466"/>
      <c r="M503" s="1467">
        <v>0</v>
      </c>
      <c r="N503" s="1468">
        <v>1.1916783496435559</v>
      </c>
      <c r="O503" s="1468">
        <v>1.1916783496435559</v>
      </c>
    </row>
    <row r="504" spans="2:15">
      <c r="K504" s="1465">
        <v>42561</v>
      </c>
      <c r="L504" s="1466"/>
      <c r="M504" s="1467">
        <v>0</v>
      </c>
      <c r="N504" s="1468">
        <v>1.1916783496435559</v>
      </c>
      <c r="O504" s="1468">
        <v>1.1916783496435559</v>
      </c>
    </row>
    <row r="505" spans="2:15">
      <c r="K505" s="1465">
        <v>42562</v>
      </c>
      <c r="L505" s="1466" t="s">
        <v>2127</v>
      </c>
      <c r="M505" s="1467">
        <v>5.2531000000000001E-2</v>
      </c>
      <c r="N505" s="1468">
        <v>1.1923043501974071</v>
      </c>
      <c r="O505" s="1468">
        <v>1.1923043501974071</v>
      </c>
    </row>
    <row r="506" spans="2:15">
      <c r="K506" s="1465">
        <v>42563</v>
      </c>
      <c r="L506" s="1466" t="s">
        <v>2127</v>
      </c>
      <c r="M506" s="1467">
        <v>5.2531000000000001E-2</v>
      </c>
      <c r="N506" s="1468">
        <v>1.1929306795956094</v>
      </c>
      <c r="O506" s="1468">
        <v>1.1929306795956094</v>
      </c>
    </row>
    <row r="507" spans="2:15">
      <c r="K507" s="1465">
        <v>42564</v>
      </c>
      <c r="L507" s="1466" t="s">
        <v>2127</v>
      </c>
      <c r="M507" s="1467">
        <v>5.2531000000000001E-2</v>
      </c>
      <c r="N507" s="1468">
        <v>1.1935573380109077</v>
      </c>
      <c r="O507" s="1468">
        <v>1.1935573380109077</v>
      </c>
    </row>
    <row r="508" spans="2:15">
      <c r="K508" s="1465">
        <v>42565</v>
      </c>
      <c r="L508" s="1466" t="s">
        <v>2127</v>
      </c>
      <c r="M508" s="1467">
        <v>5.2531000000000001E-2</v>
      </c>
      <c r="N508" s="1468">
        <v>1.1941843256161382</v>
      </c>
      <c r="O508" s="1468">
        <v>1.1941843256161382</v>
      </c>
    </row>
    <row r="509" spans="2:15">
      <c r="K509" s="1465">
        <v>42566</v>
      </c>
      <c r="L509" s="1466" t="s">
        <v>2127</v>
      </c>
      <c r="M509" s="1467">
        <v>5.2531000000000001E-2</v>
      </c>
      <c r="N509" s="1468">
        <v>1.1948116425842277</v>
      </c>
      <c r="O509" s="1468">
        <v>1.1948116425842277</v>
      </c>
    </row>
    <row r="510" spans="2:15">
      <c r="K510" s="1465">
        <v>42567</v>
      </c>
      <c r="L510" s="1466"/>
      <c r="M510" s="1467">
        <v>0</v>
      </c>
      <c r="N510" s="1468">
        <v>1.1948116425842277</v>
      </c>
      <c r="O510" s="1468">
        <v>1.1948116425842277</v>
      </c>
    </row>
    <row r="511" spans="2:15">
      <c r="K511" s="1465">
        <v>42568</v>
      </c>
      <c r="L511" s="1466"/>
      <c r="M511" s="1467">
        <v>0</v>
      </c>
      <c r="N511" s="1468">
        <v>1.1948116425842277</v>
      </c>
      <c r="O511" s="1468">
        <v>1.1948116425842277</v>
      </c>
    </row>
    <row r="512" spans="2:15">
      <c r="K512" s="1465">
        <v>42569</v>
      </c>
      <c r="L512" s="1466" t="s">
        <v>2127</v>
      </c>
      <c r="M512" s="1467">
        <v>5.2531000000000001E-2</v>
      </c>
      <c r="N512" s="1468">
        <v>1.1954392890881935</v>
      </c>
      <c r="O512" s="1468">
        <v>1.1954392890881935</v>
      </c>
    </row>
    <row r="513" spans="11:15">
      <c r="K513" s="1465">
        <v>42570</v>
      </c>
      <c r="L513" s="1466" t="s">
        <v>2127</v>
      </c>
      <c r="M513" s="1467">
        <v>5.2531000000000001E-2</v>
      </c>
      <c r="N513" s="1468">
        <v>1.1960672653011444</v>
      </c>
      <c r="O513" s="1468">
        <v>1.1960672653011444</v>
      </c>
    </row>
    <row r="514" spans="11:15">
      <c r="K514" s="1465">
        <v>42571</v>
      </c>
      <c r="L514" s="1466" t="s">
        <v>2127</v>
      </c>
      <c r="M514" s="1467">
        <v>5.2531000000000001E-2</v>
      </c>
      <c r="N514" s="1468">
        <v>1.1966955713962797</v>
      </c>
      <c r="O514" s="1468">
        <v>1.1966955713962797</v>
      </c>
    </row>
    <row r="515" spans="11:15">
      <c r="K515" s="1465">
        <v>42572</v>
      </c>
      <c r="L515" s="1466" t="s">
        <v>2127</v>
      </c>
      <c r="M515" s="1467">
        <v>5.2531000000000001E-2</v>
      </c>
      <c r="N515" s="1468">
        <v>1.19732420754689</v>
      </c>
      <c r="O515" s="1468">
        <v>1.19732420754689</v>
      </c>
    </row>
    <row r="516" spans="11:15">
      <c r="K516" s="1465">
        <v>42573</v>
      </c>
      <c r="L516" s="1466" t="s">
        <v>2127</v>
      </c>
      <c r="M516" s="1467">
        <v>5.2531000000000001E-2</v>
      </c>
      <c r="N516" s="1468">
        <v>1.1979531739263565</v>
      </c>
      <c r="O516" s="1468">
        <v>1.1979531739263565</v>
      </c>
    </row>
    <row r="517" spans="11:15">
      <c r="K517" s="1465">
        <v>42574</v>
      </c>
      <c r="L517" s="1466"/>
      <c r="M517" s="1467">
        <v>0</v>
      </c>
      <c r="N517" s="1468">
        <v>1.1979531739263565</v>
      </c>
      <c r="O517" s="1468">
        <v>1.1979531739263565</v>
      </c>
    </row>
    <row r="518" spans="11:15">
      <c r="K518" s="1465">
        <v>42575</v>
      </c>
      <c r="L518" s="1466"/>
      <c r="M518" s="1467">
        <v>0</v>
      </c>
      <c r="N518" s="1468">
        <v>1.1979531739263565</v>
      </c>
      <c r="O518" s="1468">
        <v>1.1979531739263565</v>
      </c>
    </row>
    <row r="519" spans="11:15">
      <c r="K519" s="1465">
        <v>42576</v>
      </c>
      <c r="L519" s="1466" t="s">
        <v>2127</v>
      </c>
      <c r="M519" s="1467">
        <v>5.2531000000000001E-2</v>
      </c>
      <c r="N519" s="1468">
        <v>1.1985824707081518</v>
      </c>
      <c r="O519" s="1468">
        <v>1.1985824707081518</v>
      </c>
    </row>
    <row r="520" spans="11:15">
      <c r="K520" s="1465">
        <v>42577</v>
      </c>
      <c r="L520" s="1466" t="s">
        <v>2127</v>
      </c>
      <c r="M520" s="1467">
        <v>5.2531000000000001E-2</v>
      </c>
      <c r="N520" s="1468">
        <v>1.1992120980658396</v>
      </c>
      <c r="O520" s="1468">
        <v>1.1992120980658396</v>
      </c>
    </row>
    <row r="521" spans="11:15">
      <c r="K521" s="1465">
        <v>42578</v>
      </c>
      <c r="L521" s="1466" t="s">
        <v>2127</v>
      </c>
      <c r="M521" s="1467">
        <v>5.2531000000000001E-2</v>
      </c>
      <c r="N521" s="1468">
        <v>1.1998420561730745</v>
      </c>
      <c r="O521" s="1468">
        <v>1.1998420561730745</v>
      </c>
    </row>
    <row r="522" spans="11:15">
      <c r="K522" s="1465">
        <v>42579</v>
      </c>
      <c r="L522" s="1466" t="s">
        <v>2127</v>
      </c>
      <c r="M522" s="1467">
        <v>5.2531000000000001E-2</v>
      </c>
      <c r="N522" s="1468">
        <v>1.2004723452036028</v>
      </c>
      <c r="O522" s="1468">
        <v>1.2004723452036028</v>
      </c>
    </row>
    <row r="523" spans="11:15">
      <c r="K523" s="1465">
        <v>42580</v>
      </c>
      <c r="L523" s="1466" t="s">
        <v>2127</v>
      </c>
      <c r="M523" s="1467">
        <v>5.2531000000000001E-2</v>
      </c>
      <c r="N523" s="1468">
        <v>1.2011029653312617</v>
      </c>
      <c r="O523" s="1468">
        <v>1.2011029653312617</v>
      </c>
    </row>
    <row r="524" spans="11:15">
      <c r="K524" s="1465">
        <v>42581</v>
      </c>
      <c r="L524" s="1466"/>
      <c r="M524" s="1467">
        <v>0</v>
      </c>
      <c r="N524" s="1468">
        <v>1.2011029653312617</v>
      </c>
      <c r="O524" s="1468">
        <v>1.2011029653312617</v>
      </c>
    </row>
    <row r="525" spans="11:15">
      <c r="K525" s="1465">
        <v>42582</v>
      </c>
      <c r="L525" s="1466"/>
      <c r="M525" s="1467">
        <v>0</v>
      </c>
      <c r="N525" s="1468">
        <v>1.2011029653312617</v>
      </c>
      <c r="O525" s="1468">
        <v>1.2011029653312617</v>
      </c>
    </row>
    <row r="526" spans="11:15">
      <c r="K526" s="1465">
        <v>42583</v>
      </c>
      <c r="L526" s="1466" t="s">
        <v>2127</v>
      </c>
      <c r="M526" s="1467">
        <v>5.2531000000000001E-2</v>
      </c>
      <c r="N526" s="1468">
        <v>1.2017339167299799</v>
      </c>
      <c r="O526" s="1468">
        <v>1.2017339167299799</v>
      </c>
    </row>
    <row r="527" spans="11:15">
      <c r="K527" s="1465">
        <v>42584</v>
      </c>
      <c r="L527" s="1466" t="s">
        <v>2127</v>
      </c>
      <c r="M527" s="1467">
        <v>5.2531000000000001E-2</v>
      </c>
      <c r="N527" s="1468">
        <v>1.2023651995737772</v>
      </c>
      <c r="O527" s="1468">
        <v>1.2023651995737772</v>
      </c>
    </row>
    <row r="528" spans="11:15">
      <c r="K528" s="1465">
        <v>42585</v>
      </c>
      <c r="L528" s="1466" t="s">
        <v>2127</v>
      </c>
      <c r="M528" s="1467">
        <v>5.2531000000000001E-2</v>
      </c>
      <c r="N528" s="1468">
        <v>1.2029968140367653</v>
      </c>
      <c r="O528" s="1468">
        <v>1.2029968140367653</v>
      </c>
    </row>
    <row r="529" spans="11:15">
      <c r="K529" s="1465">
        <v>42586</v>
      </c>
      <c r="L529" s="1466" t="s">
        <v>2127</v>
      </c>
      <c r="M529" s="1467">
        <v>5.2531000000000001E-2</v>
      </c>
      <c r="N529" s="1468">
        <v>1.203628760293147</v>
      </c>
      <c r="O529" s="1468">
        <v>1.203628760293147</v>
      </c>
    </row>
    <row r="530" spans="11:15">
      <c r="K530" s="1465">
        <v>42587</v>
      </c>
      <c r="L530" s="1466" t="s">
        <v>2127</v>
      </c>
      <c r="M530" s="1467">
        <v>5.2531000000000001E-2</v>
      </c>
      <c r="N530" s="1468">
        <v>1.2042610385172166</v>
      </c>
      <c r="O530" s="1468">
        <v>1.2042610385172166</v>
      </c>
    </row>
    <row r="531" spans="11:15">
      <c r="K531" s="1465">
        <v>42588</v>
      </c>
      <c r="L531" s="1466"/>
      <c r="M531" s="1467">
        <v>0</v>
      </c>
      <c r="N531" s="1468">
        <v>1.2042610385172166</v>
      </c>
      <c r="O531" s="1468">
        <v>1.2042610385172166</v>
      </c>
    </row>
    <row r="532" spans="11:15">
      <c r="K532" s="1465">
        <v>42589</v>
      </c>
      <c r="L532" s="1466"/>
      <c r="M532" s="1467">
        <v>0</v>
      </c>
      <c r="N532" s="1468">
        <v>1.2042610385172166</v>
      </c>
      <c r="O532" s="1468">
        <v>1.2042610385172166</v>
      </c>
    </row>
    <row r="533" spans="11:15">
      <c r="K533" s="1465">
        <v>42590</v>
      </c>
      <c r="L533" s="1466" t="s">
        <v>2127</v>
      </c>
      <c r="M533" s="1467">
        <v>5.2531000000000001E-2</v>
      </c>
      <c r="N533" s="1468">
        <v>1.2048936488833599</v>
      </c>
      <c r="O533" s="1468">
        <v>1.2048936488833599</v>
      </c>
    </row>
    <row r="534" spans="11:15">
      <c r="K534" s="1465">
        <v>42591</v>
      </c>
      <c r="L534" s="1466" t="s">
        <v>2127</v>
      </c>
      <c r="M534" s="1467">
        <v>5.2531000000000001E-2</v>
      </c>
      <c r="N534" s="1468">
        <v>1.2055265915660549</v>
      </c>
      <c r="O534" s="1468">
        <v>1.2055265915660549</v>
      </c>
    </row>
    <row r="535" spans="11:15">
      <c r="K535" s="1465">
        <v>42592</v>
      </c>
      <c r="L535" s="1466" t="s">
        <v>2127</v>
      </c>
      <c r="M535" s="1467">
        <v>5.2531000000000001E-2</v>
      </c>
      <c r="N535" s="1468">
        <v>1.2061598667398705</v>
      </c>
      <c r="O535" s="1468">
        <v>1.2061598667398705</v>
      </c>
    </row>
    <row r="536" spans="11:15">
      <c r="K536" s="1465">
        <v>42593</v>
      </c>
      <c r="L536" s="1466" t="s">
        <v>2127</v>
      </c>
      <c r="M536" s="1467">
        <v>5.2531000000000001E-2</v>
      </c>
      <c r="N536" s="1468">
        <v>1.2067934745794677</v>
      </c>
      <c r="O536" s="1468">
        <v>1.2067934745794677</v>
      </c>
    </row>
    <row r="537" spans="11:15">
      <c r="K537" s="1465">
        <v>42594</v>
      </c>
      <c r="L537" s="1466" t="s">
        <v>2127</v>
      </c>
      <c r="M537" s="1467">
        <v>5.2531000000000001E-2</v>
      </c>
      <c r="N537" s="1468">
        <v>1.2074274152595992</v>
      </c>
      <c r="O537" s="1468">
        <v>1.2074274152595992</v>
      </c>
    </row>
    <row r="538" spans="11:15">
      <c r="K538" s="1465">
        <v>42595</v>
      </c>
      <c r="L538" s="1466"/>
      <c r="M538" s="1467">
        <v>0</v>
      </c>
      <c r="N538" s="1468">
        <v>1.2074274152595992</v>
      </c>
      <c r="O538" s="1468">
        <v>1.2074274152595992</v>
      </c>
    </row>
    <row r="539" spans="11:15">
      <c r="K539" s="1465">
        <v>42596</v>
      </c>
      <c r="L539" s="1466"/>
      <c r="M539" s="1467">
        <v>0</v>
      </c>
      <c r="N539" s="1468">
        <v>1.2074274152595992</v>
      </c>
      <c r="O539" s="1468">
        <v>1.2074274152595992</v>
      </c>
    </row>
    <row r="540" spans="11:15">
      <c r="K540" s="1465">
        <v>42597</v>
      </c>
      <c r="L540" s="1466" t="s">
        <v>2127</v>
      </c>
      <c r="M540" s="1467">
        <v>5.2531000000000001E-2</v>
      </c>
      <c r="N540" s="1468">
        <v>1.2080616889551092</v>
      </c>
      <c r="O540" s="1468">
        <v>1.2080616889551092</v>
      </c>
    </row>
    <row r="541" spans="11:15">
      <c r="K541" s="1465">
        <v>42598</v>
      </c>
      <c r="L541" s="1466" t="s">
        <v>2127</v>
      </c>
      <c r="M541" s="1467">
        <v>5.2531000000000001E-2</v>
      </c>
      <c r="N541" s="1468">
        <v>1.2086962958409342</v>
      </c>
      <c r="O541" s="1468">
        <v>1.2086962958409342</v>
      </c>
    </row>
    <row r="542" spans="11:15">
      <c r="K542" s="1465">
        <v>42599</v>
      </c>
      <c r="L542" s="1466" t="s">
        <v>2127</v>
      </c>
      <c r="M542" s="1467">
        <v>5.2531000000000001E-2</v>
      </c>
      <c r="N542" s="1468">
        <v>1.2093312360921025</v>
      </c>
      <c r="O542" s="1468">
        <v>1.2093312360921025</v>
      </c>
    </row>
    <row r="543" spans="11:15">
      <c r="K543" s="1465">
        <v>42600</v>
      </c>
      <c r="L543" s="1466" t="s">
        <v>2127</v>
      </c>
      <c r="M543" s="1467">
        <v>5.2531000000000001E-2</v>
      </c>
      <c r="N543" s="1468">
        <v>1.209966509883734</v>
      </c>
      <c r="O543" s="1468">
        <v>1.209966509883734</v>
      </c>
    </row>
    <row r="544" spans="11:15">
      <c r="K544" s="1465">
        <v>42601</v>
      </c>
      <c r="L544" s="1466" t="s">
        <v>2127</v>
      </c>
      <c r="M544" s="1467">
        <v>5.2531000000000001E-2</v>
      </c>
      <c r="N544" s="1468">
        <v>1.2106021173910411</v>
      </c>
      <c r="O544" s="1468">
        <v>1.2106021173910411</v>
      </c>
    </row>
    <row r="545" spans="11:15">
      <c r="K545" s="1465">
        <v>42602</v>
      </c>
      <c r="L545" s="1466"/>
      <c r="M545" s="1467">
        <v>0</v>
      </c>
      <c r="N545" s="1468">
        <v>1.2106021173910411</v>
      </c>
      <c r="O545" s="1468">
        <v>1.2106021173910411</v>
      </c>
    </row>
    <row r="546" spans="11:15">
      <c r="K546" s="1465">
        <v>42603</v>
      </c>
      <c r="L546" s="1466"/>
      <c r="M546" s="1467">
        <v>0</v>
      </c>
      <c r="N546" s="1468">
        <v>1.2106021173910411</v>
      </c>
      <c r="O546" s="1468">
        <v>1.2106021173910411</v>
      </c>
    </row>
    <row r="547" spans="11:15">
      <c r="K547" s="1465">
        <v>42604</v>
      </c>
      <c r="L547" s="1466" t="s">
        <v>2127</v>
      </c>
      <c r="M547" s="1467">
        <v>5.2531000000000001E-2</v>
      </c>
      <c r="N547" s="1468">
        <v>1.2112380587893277</v>
      </c>
      <c r="O547" s="1468">
        <v>1.2112380587893277</v>
      </c>
    </row>
    <row r="548" spans="11:15">
      <c r="K548" s="1465">
        <v>42605</v>
      </c>
      <c r="L548" s="1466" t="s">
        <v>2127</v>
      </c>
      <c r="M548" s="1467">
        <v>5.2531000000000001E-2</v>
      </c>
      <c r="N548" s="1468">
        <v>1.2118743342539904</v>
      </c>
      <c r="O548" s="1468">
        <v>1.2118743342539904</v>
      </c>
    </row>
    <row r="549" spans="11:15">
      <c r="K549" s="1465">
        <v>42606</v>
      </c>
      <c r="L549" s="1466" t="s">
        <v>2127</v>
      </c>
      <c r="M549" s="1467">
        <v>5.2531000000000001E-2</v>
      </c>
      <c r="N549" s="1468">
        <v>1.2125109439605173</v>
      </c>
      <c r="O549" s="1468">
        <v>1.2125109439605173</v>
      </c>
    </row>
    <row r="550" spans="11:15">
      <c r="K550" s="1465">
        <v>42607</v>
      </c>
      <c r="L550" s="1466" t="s">
        <v>2127</v>
      </c>
      <c r="M550" s="1467">
        <v>5.2531000000000001E-2</v>
      </c>
      <c r="N550" s="1468">
        <v>1.2131478880844893</v>
      </c>
      <c r="O550" s="1468">
        <v>1.2131478880844893</v>
      </c>
    </row>
    <row r="551" spans="11:15">
      <c r="K551" s="1465">
        <v>42608</v>
      </c>
      <c r="L551" s="1466" t="s">
        <v>2127</v>
      </c>
      <c r="M551" s="1467">
        <v>5.2531000000000001E-2</v>
      </c>
      <c r="N551" s="1468">
        <v>1.2137851668015789</v>
      </c>
      <c r="O551" s="1468">
        <v>1.2137851668015789</v>
      </c>
    </row>
    <row r="552" spans="11:15">
      <c r="K552" s="1465">
        <v>42609</v>
      </c>
      <c r="L552" s="1466"/>
      <c r="M552" s="1467">
        <v>0</v>
      </c>
      <c r="N552" s="1468">
        <v>1.2137851668015789</v>
      </c>
      <c r="O552" s="1468">
        <v>1.2137851668015789</v>
      </c>
    </row>
    <row r="553" spans="11:15">
      <c r="K553" s="1465">
        <v>42610</v>
      </c>
      <c r="L553" s="1466"/>
      <c r="M553" s="1467">
        <v>0</v>
      </c>
      <c r="N553" s="1468">
        <v>1.2137851668015789</v>
      </c>
      <c r="O553" s="1468">
        <v>1.2137851668015789</v>
      </c>
    </row>
    <row r="554" spans="11:15">
      <c r="K554" s="1465">
        <v>42611</v>
      </c>
      <c r="L554" s="1466" t="s">
        <v>2127</v>
      </c>
      <c r="M554" s="1467">
        <v>5.2531000000000001E-2</v>
      </c>
      <c r="N554" s="1468">
        <v>1.2144227802875514</v>
      </c>
      <c r="O554" s="1468">
        <v>1.2144227802875514</v>
      </c>
    </row>
    <row r="555" spans="11:15">
      <c r="K555" s="1465">
        <v>42612</v>
      </c>
      <c r="L555" s="1466" t="s">
        <v>2127</v>
      </c>
      <c r="M555" s="1467">
        <v>5.2531000000000001E-2</v>
      </c>
      <c r="N555" s="1468">
        <v>1.2150607287182642</v>
      </c>
      <c r="O555" s="1468">
        <v>1.2150607287182642</v>
      </c>
    </row>
    <row r="556" spans="11:15">
      <c r="K556" s="1465">
        <v>42613</v>
      </c>
      <c r="L556" s="1466" t="s">
        <v>2127</v>
      </c>
      <c r="M556" s="1467">
        <v>5.2531000000000001E-2</v>
      </c>
      <c r="N556" s="1468">
        <v>1.2156990122696671</v>
      </c>
      <c r="O556" s="1468">
        <v>1.2156990122696671</v>
      </c>
    </row>
    <row r="557" spans="11:15">
      <c r="K557" s="1465">
        <v>42614</v>
      </c>
      <c r="L557" s="1466" t="s">
        <v>2127</v>
      </c>
      <c r="M557" s="1467">
        <v>5.2531000000000001E-2</v>
      </c>
      <c r="N557" s="1468">
        <v>1.2163376311178025</v>
      </c>
      <c r="O557" s="1468">
        <v>1.2163376311178025</v>
      </c>
    </row>
    <row r="558" spans="11:15">
      <c r="K558" s="1465">
        <v>42615</v>
      </c>
      <c r="L558" s="1466" t="s">
        <v>2127</v>
      </c>
      <c r="M558" s="1467">
        <v>5.2531000000000001E-2</v>
      </c>
      <c r="N558" s="1468">
        <v>1.216976585438805</v>
      </c>
      <c r="O558" s="1468">
        <v>1.216976585438805</v>
      </c>
    </row>
    <row r="559" spans="11:15">
      <c r="K559" s="1465">
        <v>42616</v>
      </c>
      <c r="L559" s="1466"/>
      <c r="M559" s="1467">
        <v>0</v>
      </c>
      <c r="N559" s="1468">
        <v>1.216976585438805</v>
      </c>
      <c r="O559" s="1468">
        <v>1.216976585438805</v>
      </c>
    </row>
    <row r="560" spans="11:15">
      <c r="K560" s="1465">
        <v>42617</v>
      </c>
      <c r="L560" s="1466"/>
      <c r="M560" s="1467">
        <v>0</v>
      </c>
      <c r="N560" s="1468">
        <v>1.216976585438805</v>
      </c>
      <c r="O560" s="1468">
        <v>1.216976585438805</v>
      </c>
    </row>
    <row r="561" spans="11:15">
      <c r="K561" s="1465">
        <v>42618</v>
      </c>
      <c r="L561" s="1466" t="s">
        <v>2127</v>
      </c>
      <c r="M561" s="1467">
        <v>5.2531000000000001E-2</v>
      </c>
      <c r="N561" s="1468">
        <v>1.2176158754089019</v>
      </c>
      <c r="O561" s="1468">
        <v>1.2176158754089019</v>
      </c>
    </row>
    <row r="562" spans="11:15">
      <c r="K562" s="1465">
        <v>42619</v>
      </c>
      <c r="L562" s="1466" t="s">
        <v>2127</v>
      </c>
      <c r="M562" s="1467">
        <v>5.2531000000000001E-2</v>
      </c>
      <c r="N562" s="1468">
        <v>1.2182555012044129</v>
      </c>
      <c r="O562" s="1468">
        <v>1.2182555012044129</v>
      </c>
    </row>
    <row r="563" spans="11:15">
      <c r="K563" s="1465">
        <v>42620</v>
      </c>
      <c r="L563" s="1466"/>
      <c r="M563" s="1467">
        <v>0</v>
      </c>
      <c r="N563" s="1468">
        <v>1.2182555012044129</v>
      </c>
      <c r="O563" s="1468">
        <v>1.2182555012044129</v>
      </c>
    </row>
    <row r="564" spans="11:15">
      <c r="K564" s="1465">
        <v>42621</v>
      </c>
      <c r="L564" s="1466" t="s">
        <v>2127</v>
      </c>
      <c r="M564" s="1467">
        <v>5.2531000000000001E-2</v>
      </c>
      <c r="N564" s="1468">
        <v>1.2188954630017506</v>
      </c>
      <c r="O564" s="1468">
        <v>1.2188954630017506</v>
      </c>
    </row>
    <row r="565" spans="11:15">
      <c r="K565" s="1465">
        <v>42622</v>
      </c>
      <c r="L565" s="1466" t="s">
        <v>2127</v>
      </c>
      <c r="M565" s="1467">
        <v>5.2531000000000001E-2</v>
      </c>
      <c r="N565" s="1468">
        <v>1.21953576097742</v>
      </c>
      <c r="O565" s="1468">
        <v>1.21953576097742</v>
      </c>
    </row>
    <row r="566" spans="11:15">
      <c r="K566" s="1465">
        <v>42623</v>
      </c>
      <c r="L566" s="1466"/>
      <c r="M566" s="1467">
        <v>0</v>
      </c>
      <c r="N566" s="1468">
        <v>1.21953576097742</v>
      </c>
      <c r="O566" s="1468">
        <v>1.21953576097742</v>
      </c>
    </row>
    <row r="567" spans="11:15">
      <c r="K567" s="1465">
        <v>42624</v>
      </c>
      <c r="L567" s="1466"/>
      <c r="M567" s="1467">
        <v>0</v>
      </c>
      <c r="N567" s="1468">
        <v>1.21953576097742</v>
      </c>
      <c r="O567" s="1468">
        <v>1.21953576097742</v>
      </c>
    </row>
    <row r="568" spans="11:15">
      <c r="K568" s="1465">
        <v>42625</v>
      </c>
      <c r="L568" s="1466" t="s">
        <v>2127</v>
      </c>
      <c r="M568" s="1467">
        <v>5.2531000000000001E-2</v>
      </c>
      <c r="N568" s="1468">
        <v>1.2201763953080191</v>
      </c>
      <c r="O568" s="1468">
        <v>1.2201763953080191</v>
      </c>
    </row>
    <row r="569" spans="11:15">
      <c r="K569" s="1465">
        <v>42626</v>
      </c>
      <c r="L569" s="1466" t="s">
        <v>2127</v>
      </c>
      <c r="M569" s="1467">
        <v>5.2531000000000001E-2</v>
      </c>
      <c r="N569" s="1468">
        <v>1.2208173661702384</v>
      </c>
      <c r="O569" s="1468">
        <v>1.2208173661702384</v>
      </c>
    </row>
    <row r="570" spans="11:15">
      <c r="K570" s="1465">
        <v>42627</v>
      </c>
      <c r="L570" s="1466" t="s">
        <v>2127</v>
      </c>
      <c r="M570" s="1467">
        <v>5.2531000000000001E-2</v>
      </c>
      <c r="N570" s="1468">
        <v>1.2214586737408613</v>
      </c>
      <c r="O570" s="1468">
        <v>1.2214586737408613</v>
      </c>
    </row>
    <row r="571" spans="11:15">
      <c r="K571" s="1465">
        <v>42628</v>
      </c>
      <c r="L571" s="1466" t="s">
        <v>2127</v>
      </c>
      <c r="M571" s="1467">
        <v>5.2531000000000001E-2</v>
      </c>
      <c r="N571" s="1468">
        <v>1.222100318196764</v>
      </c>
      <c r="O571" s="1468">
        <v>1.222100318196764</v>
      </c>
    </row>
    <row r="572" spans="11:15">
      <c r="K572" s="1465">
        <v>42629</v>
      </c>
      <c r="L572" s="1466" t="s">
        <v>2127</v>
      </c>
      <c r="M572" s="1467">
        <v>5.2531000000000001E-2</v>
      </c>
      <c r="N572" s="1468">
        <v>1.222742299714916</v>
      </c>
      <c r="O572" s="1468">
        <v>1.222742299714916</v>
      </c>
    </row>
    <row r="573" spans="11:15">
      <c r="K573" s="1465">
        <v>42630</v>
      </c>
      <c r="L573" s="1466"/>
      <c r="M573" s="1467">
        <v>0</v>
      </c>
      <c r="N573" s="1468">
        <v>1.222742299714916</v>
      </c>
      <c r="O573" s="1468">
        <v>1.222742299714916</v>
      </c>
    </row>
    <row r="574" spans="11:15">
      <c r="K574" s="1465">
        <v>42631</v>
      </c>
      <c r="L574" s="1466"/>
      <c r="M574" s="1467">
        <v>0</v>
      </c>
      <c r="N574" s="1468">
        <v>1.222742299714916</v>
      </c>
      <c r="O574" s="1468">
        <v>1.222742299714916</v>
      </c>
    </row>
    <row r="575" spans="11:15">
      <c r="K575" s="1465">
        <v>42632</v>
      </c>
      <c r="L575" s="1466" t="s">
        <v>2127</v>
      </c>
      <c r="M575" s="1467">
        <v>5.2531000000000001E-2</v>
      </c>
      <c r="N575" s="1468">
        <v>1.2233846184723793</v>
      </c>
      <c r="O575" s="1468">
        <v>1.2233846184723793</v>
      </c>
    </row>
    <row r="576" spans="11:15">
      <c r="K576" s="1465">
        <v>42633</v>
      </c>
      <c r="L576" s="1466" t="s">
        <v>2127</v>
      </c>
      <c r="M576" s="1467">
        <v>5.2531000000000001E-2</v>
      </c>
      <c r="N576" s="1468">
        <v>1.224027274646309</v>
      </c>
      <c r="O576" s="1468">
        <v>1.224027274646309</v>
      </c>
    </row>
    <row r="577" spans="11:15">
      <c r="K577" s="1465">
        <v>42634</v>
      </c>
      <c r="L577" s="1466" t="s">
        <v>2127</v>
      </c>
      <c r="M577" s="1467">
        <v>5.2531000000000001E-2</v>
      </c>
      <c r="N577" s="1468">
        <v>1.2246702684139534</v>
      </c>
      <c r="O577" s="1468">
        <v>1.2246702684139534</v>
      </c>
    </row>
    <row r="578" spans="11:15">
      <c r="K578" s="1465">
        <v>42635</v>
      </c>
      <c r="L578" s="1466" t="s">
        <v>2127</v>
      </c>
      <c r="M578" s="1467">
        <v>5.2531000000000001E-2</v>
      </c>
      <c r="N578" s="1468">
        <v>1.2253135999526539</v>
      </c>
      <c r="O578" s="1468">
        <v>1.2253135999526539</v>
      </c>
    </row>
    <row r="579" spans="11:15">
      <c r="K579" s="1465">
        <v>42636</v>
      </c>
      <c r="L579" s="1466" t="s">
        <v>2127</v>
      </c>
      <c r="M579" s="1467">
        <v>5.2531000000000001E-2</v>
      </c>
      <c r="N579" s="1468">
        <v>1.2259572694398451</v>
      </c>
      <c r="O579" s="1468">
        <v>1.2259572694398451</v>
      </c>
    </row>
    <row r="580" spans="11:15">
      <c r="K580" s="1465">
        <v>42637</v>
      </c>
      <c r="L580" s="1466"/>
      <c r="M580" s="1467">
        <v>0</v>
      </c>
      <c r="N580" s="1468">
        <v>1.2259572694398451</v>
      </c>
      <c r="O580" s="1468">
        <v>1.2259572694398451</v>
      </c>
    </row>
    <row r="581" spans="11:15">
      <c r="K581" s="1465">
        <v>42638</v>
      </c>
      <c r="L581" s="1466"/>
      <c r="M581" s="1467">
        <v>0</v>
      </c>
      <c r="N581" s="1468">
        <v>1.2259572694398451</v>
      </c>
      <c r="O581" s="1468">
        <v>1.2259572694398451</v>
      </c>
    </row>
    <row r="582" spans="11:15">
      <c r="K582" s="1465">
        <v>42639</v>
      </c>
      <c r="L582" s="1466" t="s">
        <v>2127</v>
      </c>
      <c r="M582" s="1467">
        <v>5.2531000000000001E-2</v>
      </c>
      <c r="N582" s="1468">
        <v>1.2266012770530546</v>
      </c>
      <c r="O582" s="1468">
        <v>1.2266012770530546</v>
      </c>
    </row>
    <row r="583" spans="11:15">
      <c r="K583" s="1465">
        <v>42640</v>
      </c>
      <c r="L583" s="1466" t="s">
        <v>2127</v>
      </c>
      <c r="M583" s="1467">
        <v>5.2531000000000001E-2</v>
      </c>
      <c r="N583" s="1468">
        <v>1.2272456229699034</v>
      </c>
      <c r="O583" s="1468">
        <v>1.2272456229699034</v>
      </c>
    </row>
    <row r="584" spans="11:15">
      <c r="K584" s="1465">
        <v>42641</v>
      </c>
      <c r="L584" s="1466" t="s">
        <v>2127</v>
      </c>
      <c r="M584" s="1467">
        <v>5.2531000000000001E-2</v>
      </c>
      <c r="N584" s="1468">
        <v>1.2278903073681058</v>
      </c>
      <c r="O584" s="1468">
        <v>1.2278903073681058</v>
      </c>
    </row>
    <row r="585" spans="11:15">
      <c r="K585" s="1465">
        <v>42642</v>
      </c>
      <c r="L585" s="1466" t="s">
        <v>2127</v>
      </c>
      <c r="M585" s="1467">
        <v>5.2531000000000001E-2</v>
      </c>
      <c r="N585" s="1468">
        <v>1.2285353304254694</v>
      </c>
      <c r="O585" s="1468">
        <v>1.2285353304254694</v>
      </c>
    </row>
    <row r="586" spans="11:15">
      <c r="K586" s="1465">
        <v>42643</v>
      </c>
      <c r="L586" s="1466" t="s">
        <v>2127</v>
      </c>
      <c r="M586" s="1467">
        <v>5.2531000000000001E-2</v>
      </c>
      <c r="N586" s="1468">
        <v>1.2291806923198951</v>
      </c>
      <c r="O586" s="1468">
        <v>1.2291806923198951</v>
      </c>
    </row>
    <row r="587" spans="11:15">
      <c r="K587" s="1465">
        <v>42644</v>
      </c>
      <c r="L587" s="1466"/>
      <c r="M587" s="1467">
        <v>0</v>
      </c>
      <c r="N587" s="1468">
        <v>1.2291806923198951</v>
      </c>
      <c r="O587" s="1468">
        <v>1.2291806923198951</v>
      </c>
    </row>
    <row r="588" spans="11:15">
      <c r="K588" s="1465">
        <v>42645</v>
      </c>
      <c r="L588" s="1466"/>
      <c r="M588" s="1467">
        <v>0</v>
      </c>
      <c r="N588" s="1468">
        <v>1.2291806923198951</v>
      </c>
      <c r="O588" s="1468">
        <v>1.2291806923198951</v>
      </c>
    </row>
    <row r="589" spans="11:15">
      <c r="K589" s="1465">
        <v>42646</v>
      </c>
      <c r="L589" s="1466" t="s">
        <v>2127</v>
      </c>
      <c r="M589" s="1467">
        <v>5.2531000000000001E-2</v>
      </c>
      <c r="N589" s="1468">
        <v>1.2298263932293776</v>
      </c>
      <c r="O589" s="1468">
        <v>1.2298263932293776</v>
      </c>
    </row>
    <row r="590" spans="11:15">
      <c r="K590" s="1465">
        <v>42647</v>
      </c>
      <c r="L590" s="1466" t="s">
        <v>2127</v>
      </c>
      <c r="M590" s="1467">
        <v>5.2531000000000001E-2</v>
      </c>
      <c r="N590" s="1468">
        <v>1.230472433332005</v>
      </c>
      <c r="O590" s="1468">
        <v>1.230472433332005</v>
      </c>
    </row>
    <row r="591" spans="11:15">
      <c r="K591" s="1465">
        <v>42648</v>
      </c>
      <c r="L591" s="1466" t="s">
        <v>2127</v>
      </c>
      <c r="M591" s="1467">
        <v>5.2531000000000001E-2</v>
      </c>
      <c r="N591" s="1468">
        <v>1.2311188128059587</v>
      </c>
      <c r="O591" s="1468">
        <v>1.2311188128059587</v>
      </c>
    </row>
    <row r="592" spans="11:15">
      <c r="K592" s="1465">
        <v>42649</v>
      </c>
      <c r="L592" s="1466" t="s">
        <v>2127</v>
      </c>
      <c r="M592" s="1467">
        <v>5.2531000000000001E-2</v>
      </c>
      <c r="N592" s="1468">
        <v>1.2317655318295138</v>
      </c>
      <c r="O592" s="1468">
        <v>1.2317655318295138</v>
      </c>
    </row>
    <row r="593" spans="11:15">
      <c r="K593" s="1465">
        <v>42650</v>
      </c>
      <c r="L593" s="1466" t="s">
        <v>2127</v>
      </c>
      <c r="M593" s="1467">
        <v>5.2531000000000001E-2</v>
      </c>
      <c r="N593" s="1468">
        <v>1.232412590581039</v>
      </c>
      <c r="O593" s="1468">
        <v>1.232412590581039</v>
      </c>
    </row>
    <row r="594" spans="11:15">
      <c r="K594" s="1465">
        <v>42651</v>
      </c>
      <c r="L594" s="1466"/>
      <c r="M594" s="1467">
        <v>0</v>
      </c>
      <c r="N594" s="1468">
        <v>1.232412590581039</v>
      </c>
      <c r="O594" s="1468">
        <v>1.232412590581039</v>
      </c>
    </row>
    <row r="595" spans="11:15">
      <c r="K595" s="1465">
        <v>42652</v>
      </c>
      <c r="L595" s="1466"/>
      <c r="M595" s="1467">
        <v>0</v>
      </c>
      <c r="N595" s="1468">
        <v>1.232412590581039</v>
      </c>
      <c r="O595" s="1468">
        <v>1.232412590581039</v>
      </c>
    </row>
    <row r="596" spans="11:15">
      <c r="K596" s="1465">
        <v>42653</v>
      </c>
      <c r="L596" s="1466" t="s">
        <v>2127</v>
      </c>
      <c r="M596" s="1467">
        <v>5.2531000000000001E-2</v>
      </c>
      <c r="N596" s="1468">
        <v>1.2330599892389971</v>
      </c>
      <c r="O596" s="1468">
        <v>1.2330599892389971</v>
      </c>
    </row>
    <row r="597" spans="11:15">
      <c r="K597" s="1465">
        <v>42654</v>
      </c>
      <c r="L597" s="1466" t="s">
        <v>2127</v>
      </c>
      <c r="M597" s="1467">
        <v>5.2531000000000001E-2</v>
      </c>
      <c r="N597" s="1468">
        <v>1.2337077279819442</v>
      </c>
      <c r="O597" s="1468">
        <v>1.2337077279819442</v>
      </c>
    </row>
    <row r="598" spans="11:15">
      <c r="K598" s="1465">
        <v>42655</v>
      </c>
      <c r="L598" s="1466"/>
      <c r="M598" s="1467">
        <v>0</v>
      </c>
      <c r="N598" s="1468">
        <v>1.2337077279819442</v>
      </c>
      <c r="O598" s="1468">
        <v>1.2337077279819442</v>
      </c>
    </row>
    <row r="599" spans="11:15">
      <c r="K599" s="1465">
        <v>42656</v>
      </c>
      <c r="L599" s="1466" t="s">
        <v>2127</v>
      </c>
      <c r="M599" s="1467">
        <v>5.2531000000000001E-2</v>
      </c>
      <c r="N599" s="1468">
        <v>1.2343558069885303</v>
      </c>
      <c r="O599" s="1468">
        <v>1.2343558069885303</v>
      </c>
    </row>
    <row r="600" spans="11:15">
      <c r="K600" s="1465">
        <v>42657</v>
      </c>
      <c r="L600" s="1466" t="s">
        <v>2127</v>
      </c>
      <c r="M600" s="1467">
        <v>5.2531000000000001E-2</v>
      </c>
      <c r="N600" s="1468">
        <v>1.2350042264374994</v>
      </c>
      <c r="O600" s="1468">
        <v>1.2350042264374994</v>
      </c>
    </row>
    <row r="601" spans="11:15">
      <c r="K601" s="1465">
        <v>42658</v>
      </c>
      <c r="L601" s="1466"/>
      <c r="M601" s="1467">
        <v>0</v>
      </c>
      <c r="N601" s="1468">
        <v>1.2350042264374994</v>
      </c>
      <c r="O601" s="1468">
        <v>1.2350042264374994</v>
      </c>
    </row>
    <row r="602" spans="11:15">
      <c r="K602" s="1465">
        <v>42659</v>
      </c>
      <c r="L602" s="1466"/>
      <c r="M602" s="1467">
        <v>0</v>
      </c>
      <c r="N602" s="1468">
        <v>1.2350042264374994</v>
      </c>
      <c r="O602" s="1468">
        <v>1.2350042264374994</v>
      </c>
    </row>
    <row r="603" spans="11:15">
      <c r="K603" s="1465">
        <v>42660</v>
      </c>
      <c r="L603" s="1466" t="s">
        <v>2127</v>
      </c>
      <c r="M603" s="1467">
        <v>5.2531000000000001E-2</v>
      </c>
      <c r="N603" s="1468">
        <v>1.2356529865076893</v>
      </c>
      <c r="O603" s="1468">
        <v>1.2356529865076893</v>
      </c>
    </row>
    <row r="604" spans="11:15">
      <c r="K604" s="1465">
        <v>42661</v>
      </c>
      <c r="L604" s="1466" t="s">
        <v>2127</v>
      </c>
      <c r="M604" s="1467">
        <v>5.2531000000000001E-2</v>
      </c>
      <c r="N604" s="1468">
        <v>1.2363020873780317</v>
      </c>
      <c r="O604" s="1468">
        <v>1.2363020873780317</v>
      </c>
    </row>
    <row r="605" spans="11:15">
      <c r="K605" s="1465">
        <v>42662</v>
      </c>
      <c r="L605" s="1466" t="s">
        <v>2127</v>
      </c>
      <c r="M605" s="1467">
        <v>5.2531000000000001E-2</v>
      </c>
      <c r="N605" s="1468">
        <v>1.2369515292275524</v>
      </c>
      <c r="O605" s="1468">
        <v>1.2369515292275524</v>
      </c>
    </row>
    <row r="606" spans="11:15">
      <c r="K606" s="1465">
        <v>42663</v>
      </c>
      <c r="L606" s="1466" t="s">
        <v>2127</v>
      </c>
      <c r="M606" s="1467">
        <v>5.1659999999999998E-2</v>
      </c>
      <c r="N606" s="1468">
        <v>1.2375905383875514</v>
      </c>
      <c r="O606" s="1468">
        <v>1.2376013122353708</v>
      </c>
    </row>
    <row r="607" spans="11:15">
      <c r="K607" s="1465">
        <v>42664</v>
      </c>
      <c r="L607" s="1466" t="s">
        <v>2127</v>
      </c>
      <c r="M607" s="1467">
        <v>5.1659999999999998E-2</v>
      </c>
      <c r="N607" s="1468">
        <v>1.2382298776596825</v>
      </c>
      <c r="O607" s="1468">
        <v>1.2382514365807011</v>
      </c>
    </row>
    <row r="608" spans="11:15">
      <c r="K608" s="1465">
        <v>42665</v>
      </c>
      <c r="L608" s="1466"/>
      <c r="M608" s="1467">
        <v>0</v>
      </c>
      <c r="N608" s="1468">
        <v>1.2382298776596825</v>
      </c>
      <c r="O608" s="1468">
        <v>1.2382514365807011</v>
      </c>
    </row>
    <row r="609" spans="11:15">
      <c r="K609" s="1465">
        <v>42666</v>
      </c>
      <c r="L609" s="1466"/>
      <c r="M609" s="1467">
        <v>0</v>
      </c>
      <c r="N609" s="1468">
        <v>1.2382298776596825</v>
      </c>
      <c r="O609" s="1468">
        <v>1.2382514365807011</v>
      </c>
    </row>
    <row r="610" spans="11:15">
      <c r="K610" s="1465">
        <v>42667</v>
      </c>
      <c r="L610" s="1466" t="s">
        <v>2127</v>
      </c>
      <c r="M610" s="1467">
        <v>5.1659999999999998E-2</v>
      </c>
      <c r="N610" s="1468">
        <v>1.2388695472144815</v>
      </c>
      <c r="O610" s="1468">
        <v>1.2389019024428514</v>
      </c>
    </row>
    <row r="611" spans="11:15">
      <c r="K611" s="1465">
        <v>42668</v>
      </c>
      <c r="L611" s="1466" t="s">
        <v>2127</v>
      </c>
      <c r="M611" s="1467">
        <v>5.1659999999999998E-2</v>
      </c>
      <c r="N611" s="1468">
        <v>1.2395095472225726</v>
      </c>
      <c r="O611" s="1468">
        <v>1.2395527100012236</v>
      </c>
    </row>
    <row r="612" spans="11:15">
      <c r="K612" s="1465">
        <v>42669</v>
      </c>
      <c r="L612" s="1466" t="s">
        <v>2127</v>
      </c>
      <c r="M612" s="1467">
        <v>5.1659999999999998E-2</v>
      </c>
      <c r="N612" s="1468">
        <v>1.2401498778546678</v>
      </c>
      <c r="O612" s="1468">
        <v>1.2402038594353144</v>
      </c>
    </row>
    <row r="613" spans="11:15">
      <c r="K613" s="1465">
        <v>42670</v>
      </c>
      <c r="L613" s="1466" t="s">
        <v>2127</v>
      </c>
      <c r="M613" s="1467">
        <v>5.1659999999999998E-2</v>
      </c>
      <c r="N613" s="1468">
        <v>1.2407905392815677</v>
      </c>
      <c r="O613" s="1468">
        <v>1.2408553509247144</v>
      </c>
    </row>
    <row r="614" spans="11:15">
      <c r="K614" s="1465">
        <v>42671</v>
      </c>
      <c r="L614" s="1466" t="s">
        <v>2127</v>
      </c>
      <c r="M614" s="1467">
        <v>5.1659999999999998E-2</v>
      </c>
      <c r="N614" s="1468">
        <v>1.2414315316741606</v>
      </c>
      <c r="O614" s="1468">
        <v>1.2415071846491088</v>
      </c>
    </row>
    <row r="615" spans="11:15">
      <c r="K615" s="1465">
        <v>42672</v>
      </c>
      <c r="L615" s="1466"/>
      <c r="M615" s="1467">
        <v>0</v>
      </c>
      <c r="N615" s="1468">
        <v>1.2414315316741606</v>
      </c>
      <c r="O615" s="1468">
        <v>1.2415071846491088</v>
      </c>
    </row>
    <row r="616" spans="11:15">
      <c r="K616" s="1465">
        <v>42673</v>
      </c>
      <c r="L616" s="1466"/>
      <c r="M616" s="1467">
        <v>0</v>
      </c>
      <c r="N616" s="1468">
        <v>1.2414315316741606</v>
      </c>
      <c r="O616" s="1468">
        <v>1.2415071846491088</v>
      </c>
    </row>
    <row r="617" spans="11:15">
      <c r="K617" s="1465">
        <v>42674</v>
      </c>
      <c r="L617" s="1466" t="s">
        <v>2127</v>
      </c>
      <c r="M617" s="1467">
        <v>5.1659999999999998E-2</v>
      </c>
      <c r="N617" s="1468">
        <v>1.2420728552034237</v>
      </c>
      <c r="O617" s="1468">
        <v>1.2421593607882768</v>
      </c>
    </row>
    <row r="618" spans="11:15">
      <c r="K618" s="1465">
        <v>42675</v>
      </c>
      <c r="L618" s="1466" t="s">
        <v>2127</v>
      </c>
      <c r="M618" s="1467">
        <v>5.1659999999999998E-2</v>
      </c>
      <c r="N618" s="1468">
        <v>1.242714510040422</v>
      </c>
      <c r="O618" s="1468">
        <v>1.2428118795220926</v>
      </c>
    </row>
    <row r="619" spans="11:15">
      <c r="K619" s="1465">
        <v>42676</v>
      </c>
      <c r="L619" s="1466"/>
      <c r="M619" s="1467">
        <v>0</v>
      </c>
      <c r="N619" s="1468">
        <v>1.242714510040422</v>
      </c>
      <c r="O619" s="1468">
        <v>1.2428118795220926</v>
      </c>
    </row>
    <row r="620" spans="11:15">
      <c r="K620" s="1465">
        <v>42677</v>
      </c>
      <c r="L620" s="1466" t="s">
        <v>2127</v>
      </c>
      <c r="M620" s="1467">
        <v>5.1659999999999998E-2</v>
      </c>
      <c r="N620" s="1468">
        <v>1.2433564963563091</v>
      </c>
      <c r="O620" s="1468">
        <v>1.2434647410305244</v>
      </c>
    </row>
    <row r="621" spans="11:15">
      <c r="K621" s="1465">
        <v>42678</v>
      </c>
      <c r="L621" s="1466" t="s">
        <v>2127</v>
      </c>
      <c r="M621" s="1467">
        <v>5.1659999999999998E-2</v>
      </c>
      <c r="N621" s="1468">
        <v>1.2439988143223268</v>
      </c>
      <c r="O621" s="1468">
        <v>1.2441179454936351</v>
      </c>
    </row>
    <row r="622" spans="11:15">
      <c r="K622" s="1465">
        <v>42679</v>
      </c>
      <c r="L622" s="1466"/>
      <c r="M622" s="1467">
        <v>0</v>
      </c>
      <c r="N622" s="1468">
        <v>1.2439988143223268</v>
      </c>
      <c r="O622" s="1468">
        <v>1.2441179454936351</v>
      </c>
    </row>
    <row r="623" spans="11:15">
      <c r="K623" s="1465">
        <v>42680</v>
      </c>
      <c r="L623" s="1466"/>
      <c r="M623" s="1467">
        <v>0</v>
      </c>
      <c r="N623" s="1468">
        <v>1.2439988143223268</v>
      </c>
      <c r="O623" s="1468">
        <v>1.2441179454936351</v>
      </c>
    </row>
    <row r="624" spans="11:15">
      <c r="K624" s="1465">
        <v>42681</v>
      </c>
      <c r="L624" s="1466" t="s">
        <v>2127</v>
      </c>
      <c r="M624" s="1467">
        <v>5.1659999999999998E-2</v>
      </c>
      <c r="N624" s="1468">
        <v>1.2446414641098058</v>
      </c>
      <c r="O624" s="1468">
        <v>1.2447714930915823</v>
      </c>
    </row>
    <row r="625" spans="11:15">
      <c r="K625" s="1465">
        <v>42682</v>
      </c>
      <c r="L625" s="1466" t="s">
        <v>2127</v>
      </c>
      <c r="M625" s="1467">
        <v>5.1659999999999998E-2</v>
      </c>
      <c r="N625" s="1468">
        <v>1.2452844458901651</v>
      </c>
      <c r="O625" s="1468">
        <v>1.2454253840046183</v>
      </c>
    </row>
    <row r="626" spans="11:15">
      <c r="K626" s="1465">
        <v>42683</v>
      </c>
      <c r="L626" s="1466" t="s">
        <v>2127</v>
      </c>
      <c r="M626" s="1467">
        <v>5.1659999999999998E-2</v>
      </c>
      <c r="N626" s="1468">
        <v>1.2459277598349121</v>
      </c>
      <c r="O626" s="1468">
        <v>1.2460796184130898</v>
      </c>
    </row>
    <row r="627" spans="11:15">
      <c r="K627" s="1465">
        <v>42684</v>
      </c>
      <c r="L627" s="1466" t="s">
        <v>2127</v>
      </c>
      <c r="M627" s="1467">
        <v>5.1659999999999998E-2</v>
      </c>
      <c r="N627" s="1468">
        <v>1.246571406115643</v>
      </c>
      <c r="O627" s="1468">
        <v>1.2467341964974383</v>
      </c>
    </row>
    <row r="628" spans="11:15">
      <c r="K628" s="1465">
        <v>42685</v>
      </c>
      <c r="L628" s="1466" t="s">
        <v>2127</v>
      </c>
      <c r="M628" s="1467">
        <v>5.1659999999999998E-2</v>
      </c>
      <c r="N628" s="1468">
        <v>1.2472153849040424</v>
      </c>
      <c r="O628" s="1468">
        <v>1.2473891184382004</v>
      </c>
    </row>
    <row r="629" spans="11:15">
      <c r="K629" s="1465">
        <v>42686</v>
      </c>
      <c r="L629" s="1466"/>
      <c r="M629" s="1467">
        <v>0</v>
      </c>
      <c r="N629" s="1468">
        <v>1.2472153849040424</v>
      </c>
      <c r="O629" s="1468">
        <v>1.2473891184382004</v>
      </c>
    </row>
    <row r="630" spans="11:15">
      <c r="K630" s="1465">
        <v>42687</v>
      </c>
      <c r="L630" s="1466"/>
      <c r="M630" s="1467">
        <v>0</v>
      </c>
      <c r="N630" s="1468">
        <v>1.2472153849040424</v>
      </c>
      <c r="O630" s="1468">
        <v>1.2473891184382004</v>
      </c>
    </row>
    <row r="631" spans="11:15">
      <c r="K631" s="1465">
        <v>42688</v>
      </c>
      <c r="L631" s="1466" t="s">
        <v>2127</v>
      </c>
      <c r="M631" s="1467">
        <v>5.1659999999999998E-2</v>
      </c>
      <c r="N631" s="1468">
        <v>1.247859696371884</v>
      </c>
      <c r="O631" s="1468">
        <v>1.2480443844160072</v>
      </c>
    </row>
    <row r="632" spans="11:15">
      <c r="K632" s="1465">
        <v>42689</v>
      </c>
      <c r="L632" s="1466"/>
      <c r="M632" s="1467">
        <v>0</v>
      </c>
      <c r="N632" s="1468">
        <v>1.247859696371884</v>
      </c>
      <c r="O632" s="1468">
        <v>1.2480443844160072</v>
      </c>
    </row>
    <row r="633" spans="11:15">
      <c r="K633" s="1465">
        <v>42690</v>
      </c>
      <c r="L633" s="1466" t="s">
        <v>2127</v>
      </c>
      <c r="M633" s="1467">
        <v>5.1659999999999998E-2</v>
      </c>
      <c r="N633" s="1468">
        <v>1.2485043406910299</v>
      </c>
      <c r="O633" s="1468">
        <v>1.2486999946115847</v>
      </c>
    </row>
    <row r="634" spans="11:15">
      <c r="K634" s="1465">
        <v>42691</v>
      </c>
      <c r="L634" s="1466" t="s">
        <v>2127</v>
      </c>
      <c r="M634" s="1467">
        <v>5.1659999999999998E-2</v>
      </c>
      <c r="N634" s="1468">
        <v>1.249149318033431</v>
      </c>
      <c r="O634" s="1468">
        <v>1.249355949205754</v>
      </c>
    </row>
    <row r="635" spans="11:15">
      <c r="K635" s="1465">
        <v>42692</v>
      </c>
      <c r="L635" s="1466" t="s">
        <v>2127</v>
      </c>
      <c r="M635" s="1467">
        <v>5.1659999999999998E-2</v>
      </c>
      <c r="N635" s="1468">
        <v>1.2497946285711272</v>
      </c>
      <c r="O635" s="1468">
        <v>1.2500122483794314</v>
      </c>
    </row>
    <row r="636" spans="11:15">
      <c r="K636" s="1465">
        <v>42693</v>
      </c>
      <c r="L636" s="1466"/>
      <c r="M636" s="1467">
        <v>0</v>
      </c>
      <c r="N636" s="1468">
        <v>1.2497946285711272</v>
      </c>
      <c r="O636" s="1468">
        <v>1.2500122483794314</v>
      </c>
    </row>
    <row r="637" spans="11:15">
      <c r="K637" s="1465">
        <v>42694</v>
      </c>
      <c r="L637" s="1466"/>
      <c r="M637" s="1467">
        <v>0</v>
      </c>
      <c r="N637" s="1468">
        <v>1.2497946285711272</v>
      </c>
      <c r="O637" s="1468">
        <v>1.2500122483794314</v>
      </c>
    </row>
    <row r="638" spans="11:15">
      <c r="K638" s="1465">
        <v>42695</v>
      </c>
      <c r="L638" s="1466" t="s">
        <v>2127</v>
      </c>
      <c r="M638" s="1467">
        <v>5.1659999999999998E-2</v>
      </c>
      <c r="N638" s="1468">
        <v>1.2504402724762471</v>
      </c>
      <c r="O638" s="1468">
        <v>1.2506688923136275</v>
      </c>
    </row>
    <row r="639" spans="11:15">
      <c r="K639" s="1465">
        <v>42696</v>
      </c>
      <c r="L639" s="1466" t="s">
        <v>2127</v>
      </c>
      <c r="M639" s="1467">
        <v>5.1659999999999998E-2</v>
      </c>
      <c r="N639" s="1468">
        <v>1.2510862499210085</v>
      </c>
      <c r="O639" s="1468">
        <v>1.2513258811894488</v>
      </c>
    </row>
    <row r="640" spans="11:15">
      <c r="K640" s="1465">
        <v>42697</v>
      </c>
      <c r="L640" s="1466" t="s">
        <v>2127</v>
      </c>
      <c r="M640" s="1467">
        <v>5.1659999999999998E-2</v>
      </c>
      <c r="N640" s="1468">
        <v>1.2517325610777177</v>
      </c>
      <c r="O640" s="1468">
        <v>1.2519832151880963</v>
      </c>
    </row>
    <row r="641" spans="11:15">
      <c r="K641" s="1465">
        <v>42698</v>
      </c>
      <c r="L641" s="1466" t="s">
        <v>2127</v>
      </c>
      <c r="M641" s="1467">
        <v>5.1659999999999998E-2</v>
      </c>
      <c r="N641" s="1468">
        <v>1.2523792061187706</v>
      </c>
      <c r="O641" s="1468">
        <v>1.2526408944908667</v>
      </c>
    </row>
    <row r="642" spans="11:15">
      <c r="K642" s="1465">
        <v>42699</v>
      </c>
      <c r="L642" s="1466" t="s">
        <v>2127</v>
      </c>
      <c r="M642" s="1467">
        <v>5.1659999999999998E-2</v>
      </c>
      <c r="N642" s="1468">
        <v>1.2530261852166518</v>
      </c>
      <c r="O642" s="1468">
        <v>1.2532989192791517</v>
      </c>
    </row>
    <row r="643" spans="11:15">
      <c r="K643" s="1465">
        <v>42700</v>
      </c>
      <c r="L643" s="1466"/>
      <c r="M643" s="1467">
        <v>0</v>
      </c>
      <c r="N643" s="1468">
        <v>1.2530261852166518</v>
      </c>
      <c r="O643" s="1468">
        <v>1.2532989192791517</v>
      </c>
    </row>
    <row r="644" spans="11:15">
      <c r="K644" s="1465">
        <v>42701</v>
      </c>
      <c r="L644" s="1466"/>
      <c r="M644" s="1467">
        <v>0</v>
      </c>
      <c r="N644" s="1468">
        <v>1.2530261852166518</v>
      </c>
      <c r="O644" s="1468">
        <v>1.2532989192791517</v>
      </c>
    </row>
    <row r="645" spans="11:15">
      <c r="K645" s="1465">
        <v>42702</v>
      </c>
      <c r="L645" s="1466" t="s">
        <v>2127</v>
      </c>
      <c r="M645" s="1467">
        <v>5.1659999999999998E-2</v>
      </c>
      <c r="N645" s="1468">
        <v>1.2536734985439348</v>
      </c>
      <c r="O645" s="1468">
        <v>1.2539572897344382</v>
      </c>
    </row>
    <row r="646" spans="11:15">
      <c r="K646" s="1465">
        <v>42703</v>
      </c>
      <c r="L646" s="1466" t="s">
        <v>2127</v>
      </c>
      <c r="M646" s="1467">
        <v>5.1659999999999998E-2</v>
      </c>
      <c r="N646" s="1468">
        <v>1.2543211462732828</v>
      </c>
      <c r="O646" s="1468">
        <v>1.2546160060383087</v>
      </c>
    </row>
    <row r="647" spans="11:15">
      <c r="K647" s="1465">
        <v>42704</v>
      </c>
      <c r="L647" s="1466" t="s">
        <v>2127</v>
      </c>
      <c r="M647" s="1467">
        <v>5.1659999999999998E-2</v>
      </c>
      <c r="N647" s="1468">
        <v>1.2549691285774478</v>
      </c>
      <c r="O647" s="1468">
        <v>1.2552750683724407</v>
      </c>
    </row>
    <row r="648" spans="11:15">
      <c r="K648" s="1465">
        <v>42705</v>
      </c>
      <c r="L648" s="1466" t="s">
        <v>2127</v>
      </c>
      <c r="M648" s="1467">
        <v>5.0788E-2</v>
      </c>
      <c r="N648" s="1468">
        <v>1.2556065022984697</v>
      </c>
      <c r="O648" s="1468">
        <v>1.2559344769186074</v>
      </c>
    </row>
    <row r="649" spans="11:15">
      <c r="K649" s="1465">
        <v>42706</v>
      </c>
      <c r="L649" s="1466" t="s">
        <v>2127</v>
      </c>
      <c r="M649" s="1467">
        <v>5.0788E-2</v>
      </c>
      <c r="N649" s="1468">
        <v>1.2562441997288571</v>
      </c>
      <c r="O649" s="1468">
        <v>1.2565942318586776</v>
      </c>
    </row>
    <row r="650" spans="11:15">
      <c r="K650" s="1465">
        <v>42707</v>
      </c>
      <c r="L650" s="1466"/>
      <c r="M650" s="1467">
        <v>0</v>
      </c>
      <c r="N650" s="1468">
        <v>1.2562441997288571</v>
      </c>
      <c r="O650" s="1468">
        <v>1.2565942318586776</v>
      </c>
    </row>
    <row r="651" spans="11:15">
      <c r="K651" s="1465">
        <v>42708</v>
      </c>
      <c r="L651" s="1466"/>
      <c r="M651" s="1467">
        <v>0</v>
      </c>
      <c r="N651" s="1468">
        <v>1.2562441997288571</v>
      </c>
      <c r="O651" s="1468">
        <v>1.2565942318586776</v>
      </c>
    </row>
    <row r="652" spans="11:15">
      <c r="K652" s="1465">
        <v>42709</v>
      </c>
      <c r="L652" s="1466" t="s">
        <v>2127</v>
      </c>
      <c r="M652" s="1467">
        <v>5.0788E-2</v>
      </c>
      <c r="N652" s="1468">
        <v>1.2568822210330155</v>
      </c>
      <c r="O652" s="1468">
        <v>1.2572543333746153</v>
      </c>
    </row>
    <row r="653" spans="11:15">
      <c r="K653" s="1465">
        <v>42710</v>
      </c>
      <c r="L653" s="1466" t="s">
        <v>2127</v>
      </c>
      <c r="M653" s="1467">
        <v>5.0788E-2</v>
      </c>
      <c r="N653" s="1468">
        <v>1.2575205663754339</v>
      </c>
      <c r="O653" s="1468">
        <v>1.2579147816484804</v>
      </c>
    </row>
    <row r="654" spans="11:15">
      <c r="K654" s="1465">
        <v>42711</v>
      </c>
      <c r="L654" s="1466" t="s">
        <v>2127</v>
      </c>
      <c r="M654" s="1467">
        <v>5.0788E-2</v>
      </c>
      <c r="N654" s="1468">
        <v>1.2581592359206846</v>
      </c>
      <c r="O654" s="1468">
        <v>1.258575576862428</v>
      </c>
    </row>
    <row r="655" spans="11:15">
      <c r="K655" s="1465">
        <v>42712</v>
      </c>
      <c r="L655" s="1466" t="s">
        <v>2127</v>
      </c>
      <c r="M655" s="1467">
        <v>5.0788E-2</v>
      </c>
      <c r="N655" s="1468">
        <v>1.2587982298334239</v>
      </c>
      <c r="O655" s="1468">
        <v>1.2592367191987097</v>
      </c>
    </row>
    <row r="656" spans="11:15">
      <c r="K656" s="1465">
        <v>42713</v>
      </c>
      <c r="L656" s="1466" t="s">
        <v>2127</v>
      </c>
      <c r="M656" s="1467">
        <v>5.0788E-2</v>
      </c>
      <c r="N656" s="1468">
        <v>1.2594375482783917</v>
      </c>
      <c r="O656" s="1468">
        <v>1.259898208839672</v>
      </c>
    </row>
    <row r="657" spans="11:15">
      <c r="K657" s="1465">
        <v>42714</v>
      </c>
      <c r="L657" s="1466"/>
      <c r="M657" s="1467">
        <v>0</v>
      </c>
      <c r="N657" s="1468">
        <v>1.2594375482783917</v>
      </c>
      <c r="O657" s="1468">
        <v>1.259898208839672</v>
      </c>
    </row>
    <row r="658" spans="11:15">
      <c r="K658" s="1465">
        <v>42715</v>
      </c>
      <c r="L658" s="1466"/>
      <c r="M658" s="1467">
        <v>0</v>
      </c>
      <c r="N658" s="1468">
        <v>1.2594375482783917</v>
      </c>
      <c r="O658" s="1468">
        <v>1.259898208839672</v>
      </c>
    </row>
    <row r="659" spans="11:15">
      <c r="K659" s="1465">
        <v>42716</v>
      </c>
      <c r="L659" s="1466" t="s">
        <v>2127</v>
      </c>
      <c r="M659" s="1467">
        <v>5.0788E-2</v>
      </c>
      <c r="N659" s="1468">
        <v>1.2600771914204114</v>
      </c>
      <c r="O659" s="1468">
        <v>1.2605600459677575</v>
      </c>
    </row>
    <row r="660" spans="11:15">
      <c r="K660" s="1465">
        <v>42717</v>
      </c>
      <c r="L660" s="1466" t="s">
        <v>2127</v>
      </c>
      <c r="M660" s="1467">
        <v>5.0788E-2</v>
      </c>
      <c r="N660" s="1468">
        <v>1.26071715942439</v>
      </c>
      <c r="O660" s="1468">
        <v>1.2612222307655048</v>
      </c>
    </row>
    <row r="661" spans="11:15">
      <c r="K661" s="1465">
        <v>42718</v>
      </c>
      <c r="L661" s="1466" t="s">
        <v>2127</v>
      </c>
      <c r="M661" s="1467">
        <v>5.0788E-2</v>
      </c>
      <c r="N661" s="1468">
        <v>1.2613574524553184</v>
      </c>
      <c r="O661" s="1468">
        <v>1.2618847634155481</v>
      </c>
    </row>
    <row r="662" spans="11:15">
      <c r="K662" s="1465">
        <v>42719</v>
      </c>
      <c r="L662" s="1466" t="s">
        <v>2127</v>
      </c>
      <c r="M662" s="1467">
        <v>5.0788E-2</v>
      </c>
      <c r="N662" s="1468">
        <v>1.2619980706782714</v>
      </c>
      <c r="O662" s="1468">
        <v>1.262547644100618</v>
      </c>
    </row>
    <row r="663" spans="11:15">
      <c r="K663" s="1465">
        <v>42720</v>
      </c>
      <c r="L663" s="1466" t="s">
        <v>2127</v>
      </c>
      <c r="M663" s="1467">
        <v>5.0788E-2</v>
      </c>
      <c r="N663" s="1468">
        <v>1.2626390142584074</v>
      </c>
      <c r="O663" s="1468">
        <v>1.2632108730035405</v>
      </c>
    </row>
    <row r="664" spans="11:15">
      <c r="K664" s="1465">
        <v>42721</v>
      </c>
      <c r="L664" s="1466"/>
      <c r="M664" s="1467">
        <v>0</v>
      </c>
      <c r="N664" s="1468">
        <v>1.2626390142584074</v>
      </c>
      <c r="O664" s="1468">
        <v>1.2632108730035405</v>
      </c>
    </row>
    <row r="665" spans="11:15">
      <c r="K665" s="1465">
        <v>42722</v>
      </c>
      <c r="L665" s="1466"/>
      <c r="M665" s="1467">
        <v>0</v>
      </c>
      <c r="N665" s="1468">
        <v>1.2626390142584074</v>
      </c>
      <c r="O665" s="1468">
        <v>1.2632108730035405</v>
      </c>
    </row>
    <row r="666" spans="11:15">
      <c r="K666" s="1465">
        <v>42723</v>
      </c>
      <c r="L666" s="1466" t="s">
        <v>2127</v>
      </c>
      <c r="M666" s="1467">
        <v>5.0788E-2</v>
      </c>
      <c r="N666" s="1468">
        <v>1.2632802833609691</v>
      </c>
      <c r="O666" s="1468">
        <v>1.2638744503072381</v>
      </c>
    </row>
    <row r="667" spans="11:15">
      <c r="K667" s="1465">
        <v>42724</v>
      </c>
      <c r="L667" s="1466" t="s">
        <v>2127</v>
      </c>
      <c r="M667" s="1467">
        <v>5.0788E-2</v>
      </c>
      <c r="N667" s="1468">
        <v>1.2639218781512824</v>
      </c>
      <c r="O667" s="1468">
        <v>1.2645383761947291</v>
      </c>
    </row>
    <row r="668" spans="11:15">
      <c r="K668" s="1465">
        <v>42725</v>
      </c>
      <c r="L668" s="1466" t="s">
        <v>2127</v>
      </c>
      <c r="M668" s="1467">
        <v>5.0788E-2</v>
      </c>
      <c r="N668" s="1468">
        <v>1.264563798794758</v>
      </c>
      <c r="O668" s="1468">
        <v>1.2652026508491279</v>
      </c>
    </row>
    <row r="669" spans="11:15">
      <c r="K669" s="1465">
        <v>42726</v>
      </c>
      <c r="L669" s="1466" t="s">
        <v>2127</v>
      </c>
      <c r="M669" s="1467">
        <v>5.0788E-2</v>
      </c>
      <c r="N669" s="1468">
        <v>1.2652060454568899</v>
      </c>
      <c r="O669" s="1468">
        <v>1.2658672744536454</v>
      </c>
    </row>
    <row r="670" spans="11:15">
      <c r="K670" s="1465">
        <v>42727</v>
      </c>
      <c r="L670" s="1466" t="s">
        <v>2127</v>
      </c>
      <c r="M670" s="1467">
        <v>5.0788E-2</v>
      </c>
      <c r="N670" s="1468">
        <v>1.2658486183032565</v>
      </c>
      <c r="O670" s="1468">
        <v>1.2665322471915887</v>
      </c>
    </row>
    <row r="671" spans="11:15">
      <c r="K671" s="1465">
        <v>42728</v>
      </c>
      <c r="L671" s="1466"/>
      <c r="M671" s="1467">
        <v>0</v>
      </c>
      <c r="N671" s="1468">
        <v>1.2658486183032565</v>
      </c>
      <c r="O671" s="1468">
        <v>1.2665322471915887</v>
      </c>
    </row>
    <row r="672" spans="11:15">
      <c r="K672" s="1465">
        <v>42729</v>
      </c>
      <c r="L672" s="1466"/>
      <c r="M672" s="1467">
        <v>0</v>
      </c>
      <c r="N672" s="1468">
        <v>1.2658486183032565</v>
      </c>
      <c r="O672" s="1468">
        <v>1.2665322471915887</v>
      </c>
    </row>
    <row r="673" spans="11:15">
      <c r="K673" s="1465">
        <v>42730</v>
      </c>
      <c r="L673" s="1466" t="s">
        <v>2127</v>
      </c>
      <c r="M673" s="1467">
        <v>5.0788E-2</v>
      </c>
      <c r="N673" s="1468">
        <v>1.2664915174995204</v>
      </c>
      <c r="O673" s="1468">
        <v>1.2671975692463611</v>
      </c>
    </row>
    <row r="674" spans="11:15">
      <c r="K674" s="1465">
        <v>42731</v>
      </c>
      <c r="L674" s="1466" t="s">
        <v>2127</v>
      </c>
      <c r="M674" s="1467">
        <v>5.0788E-2</v>
      </c>
      <c r="N674" s="1468">
        <v>1.2671347432114282</v>
      </c>
      <c r="O674" s="1468">
        <v>1.2678632408014618</v>
      </c>
    </row>
    <row r="675" spans="11:15">
      <c r="K675" s="1465">
        <v>42732</v>
      </c>
      <c r="L675" s="1466" t="s">
        <v>2127</v>
      </c>
      <c r="M675" s="1467">
        <v>5.0788E-2</v>
      </c>
      <c r="N675" s="1468">
        <v>1.2677782956048105</v>
      </c>
      <c r="O675" s="1468">
        <v>1.2685292620404873</v>
      </c>
    </row>
    <row r="676" spans="11:15">
      <c r="K676" s="1465">
        <v>42733</v>
      </c>
      <c r="L676" s="1466" t="s">
        <v>2127</v>
      </c>
      <c r="M676" s="1467">
        <v>5.0788E-2</v>
      </c>
      <c r="N676" s="1468">
        <v>1.2684221748455822</v>
      </c>
      <c r="O676" s="1468">
        <v>1.2691956331471299</v>
      </c>
    </row>
    <row r="677" spans="11:15">
      <c r="K677" s="1465">
        <v>42734</v>
      </c>
      <c r="L677" s="1466" t="s">
        <v>2127</v>
      </c>
      <c r="M677" s="1467">
        <v>5.0788E-2</v>
      </c>
      <c r="N677" s="1468">
        <v>1.2690663810997427</v>
      </c>
      <c r="O677" s="1468">
        <v>1.2698623543051784</v>
      </c>
    </row>
    <row r="678" spans="11:15">
      <c r="K678" s="1465">
        <v>42735</v>
      </c>
      <c r="L678" s="1466"/>
      <c r="M678" s="1467">
        <v>0</v>
      </c>
      <c r="N678" s="1468">
        <v>1.2690663810997427</v>
      </c>
      <c r="O678" s="1468">
        <v>1.2698623543051784</v>
      </c>
    </row>
    <row r="679" spans="11:15">
      <c r="K679" s="1465">
        <v>42736</v>
      </c>
      <c r="L679" s="1466"/>
      <c r="M679" s="1467">
        <v>0</v>
      </c>
      <c r="N679" s="1468">
        <v>1.2690663810997427</v>
      </c>
      <c r="O679" s="1468">
        <v>1.2698623543051784</v>
      </c>
    </row>
    <row r="680" spans="11:15">
      <c r="K680" s="1465">
        <v>42737</v>
      </c>
      <c r="L680" s="1466" t="s">
        <v>2127</v>
      </c>
      <c r="M680" s="1467">
        <v>5.0788E-2</v>
      </c>
      <c r="N680" s="1468">
        <v>1.2697109145333756</v>
      </c>
      <c r="O680" s="1468">
        <v>1.2705294256985185</v>
      </c>
    </row>
    <row r="681" spans="11:15">
      <c r="K681" s="1465">
        <v>42738</v>
      </c>
      <c r="L681" s="1466" t="s">
        <v>2127</v>
      </c>
      <c r="M681" s="1467">
        <v>5.0788E-2</v>
      </c>
      <c r="N681" s="1468">
        <v>1.2703557753126489</v>
      </c>
      <c r="O681" s="1468">
        <v>1.2711968475111322</v>
      </c>
    </row>
    <row r="682" spans="11:15">
      <c r="K682" s="1465">
        <v>42739</v>
      </c>
      <c r="L682" s="1466" t="s">
        <v>2127</v>
      </c>
      <c r="M682" s="1467">
        <v>5.0788E-2</v>
      </c>
      <c r="N682" s="1468">
        <v>1.2710009636038146</v>
      </c>
      <c r="O682" s="1468">
        <v>1.2718646199270982</v>
      </c>
    </row>
    <row r="683" spans="11:15">
      <c r="K683" s="1465">
        <v>42740</v>
      </c>
      <c r="L683" s="1466" t="s">
        <v>2127</v>
      </c>
      <c r="M683" s="1467">
        <v>5.0788E-2</v>
      </c>
      <c r="N683" s="1468">
        <v>1.2716464795732099</v>
      </c>
      <c r="O683" s="1468">
        <v>1.2725327431305922</v>
      </c>
    </row>
    <row r="684" spans="11:15">
      <c r="K684" s="1465">
        <v>42741</v>
      </c>
      <c r="L684" s="1466" t="s">
        <v>2127</v>
      </c>
      <c r="M684" s="1467">
        <v>5.0788E-2</v>
      </c>
      <c r="N684" s="1468">
        <v>1.2722923233872556</v>
      </c>
      <c r="O684" s="1468">
        <v>1.2732012173058862</v>
      </c>
    </row>
    <row r="685" spans="11:15">
      <c r="K685" s="1465">
        <v>42742</v>
      </c>
      <c r="L685" s="1466"/>
      <c r="M685" s="1467">
        <v>0</v>
      </c>
      <c r="N685" s="1468">
        <v>1.2722923233872556</v>
      </c>
      <c r="O685" s="1468">
        <v>1.2732012173058862</v>
      </c>
    </row>
    <row r="686" spans="11:15">
      <c r="K686" s="1465">
        <v>42743</v>
      </c>
      <c r="L686" s="1466"/>
      <c r="M686" s="1467">
        <v>0</v>
      </c>
      <c r="N686" s="1468">
        <v>1.2722923233872556</v>
      </c>
      <c r="O686" s="1468">
        <v>1.2732012173058862</v>
      </c>
    </row>
    <row r="687" spans="11:15">
      <c r="K687" s="1465">
        <v>42744</v>
      </c>
      <c r="L687" s="1466" t="s">
        <v>2127</v>
      </c>
      <c r="M687" s="1467">
        <v>5.0788E-2</v>
      </c>
      <c r="N687" s="1468">
        <v>1.2729384952124576</v>
      </c>
      <c r="O687" s="1468">
        <v>1.2738700426373493</v>
      </c>
    </row>
    <row r="688" spans="11:15">
      <c r="K688" s="1465">
        <v>42745</v>
      </c>
      <c r="L688" s="1466" t="s">
        <v>2127</v>
      </c>
      <c r="M688" s="1467">
        <v>5.0788E-2</v>
      </c>
      <c r="N688" s="1468">
        <v>1.2735849952154061</v>
      </c>
      <c r="O688" s="1468">
        <v>1.2745392193094471</v>
      </c>
    </row>
    <row r="689" spans="11:15">
      <c r="K689" s="1465">
        <v>42746</v>
      </c>
      <c r="L689" s="1466" t="s">
        <v>2127</v>
      </c>
      <c r="M689" s="1467">
        <v>5.0788E-2</v>
      </c>
      <c r="N689" s="1468">
        <v>1.2742318235627761</v>
      </c>
      <c r="O689" s="1468">
        <v>1.2752087475067426</v>
      </c>
    </row>
    <row r="690" spans="11:15">
      <c r="K690" s="1465">
        <v>42747</v>
      </c>
      <c r="L690" s="1466" t="s">
        <v>2127</v>
      </c>
      <c r="M690" s="1467">
        <v>4.8159E-2</v>
      </c>
      <c r="N690" s="1468">
        <v>1.2748454808666856</v>
      </c>
      <c r="O690" s="1468">
        <v>1.2758786274138953</v>
      </c>
    </row>
    <row r="691" spans="11:15">
      <c r="K691" s="1465">
        <v>42748</v>
      </c>
      <c r="L691" s="1466" t="s">
        <v>2127</v>
      </c>
      <c r="M691" s="1467">
        <v>4.8159E-2</v>
      </c>
      <c r="N691" s="1468">
        <v>1.2754594337018161</v>
      </c>
      <c r="O691" s="1468">
        <v>1.2765488592156622</v>
      </c>
    </row>
    <row r="692" spans="11:15">
      <c r="K692" s="1465">
        <v>42749</v>
      </c>
      <c r="L692" s="1466"/>
      <c r="M692" s="1467">
        <v>0</v>
      </c>
      <c r="N692" s="1468">
        <v>1.2754594337018161</v>
      </c>
      <c r="O692" s="1468">
        <v>1.2765488592156622</v>
      </c>
    </row>
    <row r="693" spans="11:15">
      <c r="K693" s="1465">
        <v>42750</v>
      </c>
      <c r="L693" s="1466"/>
      <c r="M693" s="1467">
        <v>0</v>
      </c>
      <c r="N693" s="1468">
        <v>1.2754594337018161</v>
      </c>
      <c r="O693" s="1468">
        <v>1.2765488592156622</v>
      </c>
    </row>
    <row r="694" spans="11:15">
      <c r="K694" s="1465">
        <v>42751</v>
      </c>
      <c r="L694" s="1466" t="s">
        <v>2127</v>
      </c>
      <c r="M694" s="1467">
        <v>4.8159E-2</v>
      </c>
      <c r="N694" s="1468">
        <v>1.2760736822104926</v>
      </c>
      <c r="O694" s="1468">
        <v>1.2772194430968968</v>
      </c>
    </row>
    <row r="695" spans="11:15">
      <c r="K695" s="1465">
        <v>42752</v>
      </c>
      <c r="L695" s="1466" t="s">
        <v>2127</v>
      </c>
      <c r="M695" s="1467">
        <v>4.8159E-2</v>
      </c>
      <c r="N695" s="1468">
        <v>1.2766882265351083</v>
      </c>
      <c r="O695" s="1468">
        <v>1.27789037924255</v>
      </c>
    </row>
    <row r="696" spans="11:15">
      <c r="K696" s="1465">
        <v>42753</v>
      </c>
      <c r="L696" s="1466" t="s">
        <v>2127</v>
      </c>
      <c r="M696" s="1467">
        <v>4.8159E-2</v>
      </c>
      <c r="N696" s="1468">
        <v>1.2773030668181251</v>
      </c>
      <c r="O696" s="1468">
        <v>1.2785616678376699</v>
      </c>
    </row>
    <row r="697" spans="11:15">
      <c r="K697" s="1465">
        <v>42754</v>
      </c>
      <c r="L697" s="1466" t="s">
        <v>2127</v>
      </c>
      <c r="M697" s="1467">
        <v>4.8159E-2</v>
      </c>
      <c r="N697" s="1468">
        <v>1.2779182032020739</v>
      </c>
      <c r="O697" s="1468">
        <v>1.2792333090674017</v>
      </c>
    </row>
    <row r="698" spans="11:15">
      <c r="K698" s="1465">
        <v>42755</v>
      </c>
      <c r="L698" s="1466" t="s">
        <v>2127</v>
      </c>
      <c r="M698" s="1467">
        <v>4.8159E-2</v>
      </c>
      <c r="N698" s="1468">
        <v>1.278533635829554</v>
      </c>
      <c r="O698" s="1468">
        <v>1.279905303116988</v>
      </c>
    </row>
    <row r="699" spans="11:15">
      <c r="K699" s="1465">
        <v>42756</v>
      </c>
      <c r="L699" s="1466"/>
      <c r="M699" s="1467">
        <v>0</v>
      </c>
      <c r="N699" s="1468">
        <v>1.278533635829554</v>
      </c>
      <c r="O699" s="1468">
        <v>1.279905303116988</v>
      </c>
    </row>
    <row r="700" spans="11:15">
      <c r="K700" s="1465">
        <v>42757</v>
      </c>
      <c r="L700" s="1466"/>
      <c r="M700" s="1467">
        <v>0</v>
      </c>
      <c r="N700" s="1468">
        <v>1.278533635829554</v>
      </c>
      <c r="O700" s="1468">
        <v>1.279905303116988</v>
      </c>
    </row>
    <row r="701" spans="11:15">
      <c r="K701" s="1465">
        <v>42758</v>
      </c>
      <c r="L701" s="1466" t="s">
        <v>2127</v>
      </c>
      <c r="M701" s="1467">
        <v>4.8159E-2</v>
      </c>
      <c r="N701" s="1468">
        <v>1.279149364843233</v>
      </c>
      <c r="O701" s="1468">
        <v>1.2805776501717685</v>
      </c>
    </row>
    <row r="702" spans="11:15">
      <c r="K702" s="1465">
        <v>42759</v>
      </c>
      <c r="L702" s="1466" t="s">
        <v>2127</v>
      </c>
      <c r="M702" s="1467">
        <v>4.8159E-2</v>
      </c>
      <c r="N702" s="1468">
        <v>1.2797653903858479</v>
      </c>
      <c r="O702" s="1468">
        <v>1.2812503504171802</v>
      </c>
    </row>
    <row r="703" spans="11:15">
      <c r="K703" s="1465">
        <v>42760</v>
      </c>
      <c r="L703" s="1466" t="s">
        <v>2127</v>
      </c>
      <c r="M703" s="1467">
        <v>4.8159E-2</v>
      </c>
      <c r="N703" s="1468">
        <v>1.2803817126002037</v>
      </c>
      <c r="O703" s="1468">
        <v>1.2819234040387577</v>
      </c>
    </row>
    <row r="704" spans="11:15">
      <c r="K704" s="1465">
        <v>42761</v>
      </c>
      <c r="L704" s="1466" t="s">
        <v>2127</v>
      </c>
      <c r="M704" s="1467">
        <v>4.8159E-2</v>
      </c>
      <c r="N704" s="1468">
        <v>1.2809983316291746</v>
      </c>
      <c r="O704" s="1468">
        <v>1.2825968112221333</v>
      </c>
    </row>
    <row r="705" spans="11:15">
      <c r="K705" s="1465">
        <v>42762</v>
      </c>
      <c r="L705" s="1466" t="s">
        <v>2127</v>
      </c>
      <c r="M705" s="1467">
        <v>4.8159E-2</v>
      </c>
      <c r="N705" s="1468">
        <v>1.2816152476157039</v>
      </c>
      <c r="O705" s="1468">
        <v>1.2832705721530364</v>
      </c>
    </row>
    <row r="706" spans="11:15">
      <c r="K706" s="1465">
        <v>42763</v>
      </c>
      <c r="L706" s="1466"/>
      <c r="M706" s="1467">
        <v>0</v>
      </c>
      <c r="N706" s="1468">
        <v>1.2816152476157039</v>
      </c>
      <c r="O706" s="1468">
        <v>1.2832705721530364</v>
      </c>
    </row>
    <row r="707" spans="11:15">
      <c r="K707" s="1465">
        <v>42764</v>
      </c>
      <c r="L707" s="1466"/>
      <c r="M707" s="1467">
        <v>0</v>
      </c>
      <c r="N707" s="1468">
        <v>1.2816152476157039</v>
      </c>
      <c r="O707" s="1468">
        <v>1.2832705721530364</v>
      </c>
    </row>
    <row r="708" spans="11:15">
      <c r="K708" s="1465">
        <v>42765</v>
      </c>
      <c r="L708" s="1466" t="s">
        <v>2127</v>
      </c>
      <c r="M708" s="1467">
        <v>4.8159E-2</v>
      </c>
      <c r="N708" s="1468">
        <v>1.2822324607028031</v>
      </c>
      <c r="O708" s="1468">
        <v>1.2839446870172941</v>
      </c>
    </row>
    <row r="709" spans="11:15">
      <c r="K709" s="1465">
        <v>42766</v>
      </c>
      <c r="L709" s="1466" t="s">
        <v>2127</v>
      </c>
      <c r="M709" s="1467">
        <v>4.8159E-2</v>
      </c>
      <c r="N709" s="1468">
        <v>1.2828499710335528</v>
      </c>
      <c r="O709" s="1468">
        <v>1.2846191560008311</v>
      </c>
    </row>
    <row r="710" spans="11:15">
      <c r="K710" s="1465">
        <v>42767</v>
      </c>
      <c r="L710" s="1466" t="s">
        <v>2127</v>
      </c>
      <c r="M710" s="1467">
        <v>4.8159E-2</v>
      </c>
      <c r="N710" s="1468">
        <v>1.2834677787511029</v>
      </c>
      <c r="O710" s="1468">
        <v>1.2852939792896698</v>
      </c>
    </row>
    <row r="711" spans="11:15">
      <c r="K711" s="1465">
        <v>42768</v>
      </c>
      <c r="L711" s="1466" t="s">
        <v>2127</v>
      </c>
      <c r="M711" s="1467">
        <v>4.8159E-2</v>
      </c>
      <c r="N711" s="1468">
        <v>1.2840858839986715</v>
      </c>
      <c r="O711" s="1468">
        <v>1.2859691570699305</v>
      </c>
    </row>
    <row r="712" spans="11:15">
      <c r="K712" s="1465">
        <v>42769</v>
      </c>
      <c r="L712" s="1466" t="s">
        <v>2127</v>
      </c>
      <c r="M712" s="1467">
        <v>4.8159E-2</v>
      </c>
      <c r="N712" s="1468">
        <v>1.2847042869195464</v>
      </c>
      <c r="O712" s="1468">
        <v>1.286644689527831</v>
      </c>
    </row>
    <row r="713" spans="11:15">
      <c r="K713" s="1465">
        <v>42770</v>
      </c>
      <c r="L713" s="1466"/>
      <c r="M713" s="1467">
        <v>0</v>
      </c>
      <c r="N713" s="1468">
        <v>1.2847042869195464</v>
      </c>
      <c r="O713" s="1468">
        <v>1.286644689527831</v>
      </c>
    </row>
    <row r="714" spans="11:15">
      <c r="K714" s="1465">
        <v>42771</v>
      </c>
      <c r="L714" s="1466"/>
      <c r="M714" s="1467">
        <v>0</v>
      </c>
      <c r="N714" s="1468">
        <v>1.2847042869195464</v>
      </c>
      <c r="O714" s="1468">
        <v>1.286644689527831</v>
      </c>
    </row>
    <row r="715" spans="11:15">
      <c r="K715" s="1465">
        <v>42772</v>
      </c>
      <c r="L715" s="1466" t="s">
        <v>2127</v>
      </c>
      <c r="M715" s="1467">
        <v>4.8159E-2</v>
      </c>
      <c r="N715" s="1468">
        <v>1.285322987657084</v>
      </c>
      <c r="O715" s="1468">
        <v>1.2873205768496869</v>
      </c>
    </row>
    <row r="716" spans="11:15">
      <c r="K716" s="1465">
        <v>42773</v>
      </c>
      <c r="L716" s="1466" t="s">
        <v>2127</v>
      </c>
      <c r="M716" s="1467">
        <v>4.8159E-2</v>
      </c>
      <c r="N716" s="1468">
        <v>1.2859419863547097</v>
      </c>
      <c r="O716" s="1468">
        <v>1.2879968192219118</v>
      </c>
    </row>
    <row r="717" spans="11:15">
      <c r="K717" s="1465">
        <v>42774</v>
      </c>
      <c r="L717" s="1466" t="s">
        <v>2127</v>
      </c>
      <c r="M717" s="1467">
        <v>4.8159E-2</v>
      </c>
      <c r="N717" s="1468">
        <v>1.2865612831559181</v>
      </c>
      <c r="O717" s="1468">
        <v>1.2886734168310172</v>
      </c>
    </row>
    <row r="718" spans="11:15">
      <c r="K718" s="1465">
        <v>42775</v>
      </c>
      <c r="L718" s="1466" t="s">
        <v>2127</v>
      </c>
      <c r="M718" s="1467">
        <v>4.8159E-2</v>
      </c>
      <c r="N718" s="1468">
        <v>1.2871808782042731</v>
      </c>
      <c r="O718" s="1468">
        <v>1.2893503698636126</v>
      </c>
    </row>
    <row r="719" spans="11:15">
      <c r="K719" s="1465">
        <v>42776</v>
      </c>
      <c r="L719" s="1466" t="s">
        <v>2127</v>
      </c>
      <c r="M719" s="1467">
        <v>4.8159E-2</v>
      </c>
      <c r="N719" s="1468">
        <v>1.2878007716434074</v>
      </c>
      <c r="O719" s="1468">
        <v>1.2900276785064058</v>
      </c>
    </row>
    <row r="720" spans="11:15">
      <c r="K720" s="1465">
        <v>42777</v>
      </c>
      <c r="L720" s="1466"/>
      <c r="M720" s="1467">
        <v>0</v>
      </c>
      <c r="N720" s="1468">
        <v>1.2878007716434074</v>
      </c>
      <c r="O720" s="1468">
        <v>1.2900276785064058</v>
      </c>
    </row>
    <row r="721" spans="11:15">
      <c r="K721" s="1465">
        <v>42778</v>
      </c>
      <c r="L721" s="1466"/>
      <c r="M721" s="1467">
        <v>0</v>
      </c>
      <c r="N721" s="1468">
        <v>1.2878007716434074</v>
      </c>
      <c r="O721" s="1468">
        <v>1.2900276785064058</v>
      </c>
    </row>
    <row r="722" spans="11:15">
      <c r="K722" s="1465">
        <v>42779</v>
      </c>
      <c r="L722" s="1466" t="s">
        <v>2127</v>
      </c>
      <c r="M722" s="1467">
        <v>4.8159E-2</v>
      </c>
      <c r="N722" s="1468">
        <v>1.2884209636170232</v>
      </c>
      <c r="O722" s="1468">
        <v>1.2907053429462019</v>
      </c>
    </row>
    <row r="723" spans="11:15">
      <c r="K723" s="1465">
        <v>42780</v>
      </c>
      <c r="L723" s="1466" t="s">
        <v>2127</v>
      </c>
      <c r="M723" s="1467">
        <v>4.8159E-2</v>
      </c>
      <c r="N723" s="1468">
        <v>1.2890414542688915</v>
      </c>
      <c r="O723" s="1468">
        <v>1.291383363369905</v>
      </c>
    </row>
    <row r="724" spans="11:15">
      <c r="K724" s="1465">
        <v>42781</v>
      </c>
      <c r="L724" s="1466" t="s">
        <v>2127</v>
      </c>
      <c r="M724" s="1467">
        <v>4.8159E-2</v>
      </c>
      <c r="N724" s="1468">
        <v>1.2896622437428527</v>
      </c>
      <c r="O724" s="1468">
        <v>1.2920617399645169</v>
      </c>
    </row>
    <row r="725" spans="11:15">
      <c r="K725" s="1465">
        <v>42782</v>
      </c>
      <c r="L725" s="1466" t="s">
        <v>2127</v>
      </c>
      <c r="M725" s="1467">
        <v>4.8159E-2</v>
      </c>
      <c r="N725" s="1468">
        <v>1.2902833321828167</v>
      </c>
      <c r="O725" s="1468">
        <v>1.2927404729171377</v>
      </c>
    </row>
    <row r="726" spans="11:15">
      <c r="K726" s="1465">
        <v>42783</v>
      </c>
      <c r="L726" s="1466" t="s">
        <v>2127</v>
      </c>
      <c r="M726" s="1467">
        <v>4.8159E-2</v>
      </c>
      <c r="N726" s="1468">
        <v>1.2909047197327626</v>
      </c>
      <c r="O726" s="1468">
        <v>1.2934195624149658</v>
      </c>
    </row>
    <row r="727" spans="11:15">
      <c r="K727" s="1465">
        <v>42784</v>
      </c>
      <c r="L727" s="1466"/>
      <c r="M727" s="1467">
        <v>0</v>
      </c>
      <c r="N727" s="1468">
        <v>1.2909047197327626</v>
      </c>
      <c r="O727" s="1468">
        <v>1.2934195624149658</v>
      </c>
    </row>
    <row r="728" spans="11:15">
      <c r="K728" s="1465">
        <v>42785</v>
      </c>
      <c r="L728" s="1466"/>
      <c r="M728" s="1467">
        <v>0</v>
      </c>
      <c r="N728" s="1468">
        <v>1.2909047197327626</v>
      </c>
      <c r="O728" s="1468">
        <v>1.2934195624149658</v>
      </c>
    </row>
    <row r="729" spans="11:15">
      <c r="K729" s="1465">
        <v>42786</v>
      </c>
      <c r="L729" s="1466" t="s">
        <v>2127</v>
      </c>
      <c r="M729" s="1467">
        <v>4.8159E-2</v>
      </c>
      <c r="N729" s="1468">
        <v>1.2915264065367384</v>
      </c>
      <c r="O729" s="1468">
        <v>1.2940990086452979</v>
      </c>
    </row>
    <row r="730" spans="11:15">
      <c r="K730" s="1465">
        <v>42787</v>
      </c>
      <c r="L730" s="1466" t="s">
        <v>2127</v>
      </c>
      <c r="M730" s="1467">
        <v>4.8159E-2</v>
      </c>
      <c r="N730" s="1468">
        <v>1.2921483927388624</v>
      </c>
      <c r="O730" s="1468">
        <v>1.2947788117955294</v>
      </c>
    </row>
    <row r="731" spans="11:15">
      <c r="K731" s="1465">
        <v>42788</v>
      </c>
      <c r="L731" s="1466" t="s">
        <v>2127</v>
      </c>
      <c r="M731" s="1467">
        <v>4.8159E-2</v>
      </c>
      <c r="N731" s="1468">
        <v>1.2927706784833215</v>
      </c>
      <c r="O731" s="1468">
        <v>1.2954589720531537</v>
      </c>
    </row>
    <row r="732" spans="11:15">
      <c r="K732" s="1465">
        <v>42789</v>
      </c>
      <c r="L732" s="1466" t="s">
        <v>2127</v>
      </c>
      <c r="M732" s="1467">
        <v>4.5512999999999998E-2</v>
      </c>
      <c r="N732" s="1468">
        <v>1.2933590572022196</v>
      </c>
      <c r="O732" s="1468">
        <v>1.296139489605763</v>
      </c>
    </row>
    <row r="733" spans="11:15">
      <c r="K733" s="1465">
        <v>42790</v>
      </c>
      <c r="L733" s="1466" t="s">
        <v>2127</v>
      </c>
      <c r="M733" s="1467">
        <v>4.5512999999999998E-2</v>
      </c>
      <c r="N733" s="1468">
        <v>1.2939477037099241</v>
      </c>
      <c r="O733" s="1468">
        <v>1.2968203646410479</v>
      </c>
    </row>
    <row r="734" spans="11:15">
      <c r="K734" s="1465">
        <v>42791</v>
      </c>
      <c r="L734" s="1466"/>
      <c r="M734" s="1467">
        <v>0</v>
      </c>
      <c r="N734" s="1468">
        <v>1.2939477037099241</v>
      </c>
      <c r="O734" s="1468">
        <v>1.2968203646410479</v>
      </c>
    </row>
    <row r="735" spans="11:15">
      <c r="K735" s="1465">
        <v>42792</v>
      </c>
      <c r="L735" s="1466"/>
      <c r="M735" s="1467">
        <v>0</v>
      </c>
      <c r="N735" s="1468">
        <v>1.2939477037099241</v>
      </c>
      <c r="O735" s="1468">
        <v>1.2968203646410479</v>
      </c>
    </row>
    <row r="736" spans="11:15">
      <c r="K736" s="1465">
        <v>42793</v>
      </c>
      <c r="L736" s="1466"/>
      <c r="M736" s="1467">
        <v>0</v>
      </c>
      <c r="N736" s="1468">
        <v>1.2939477037099241</v>
      </c>
      <c r="O736" s="1468">
        <v>1.2968203646410479</v>
      </c>
    </row>
    <row r="737" spans="11:15">
      <c r="K737" s="1465">
        <v>42794</v>
      </c>
      <c r="L737" s="1466"/>
      <c r="M737" s="1467">
        <v>0</v>
      </c>
      <c r="N737" s="1468">
        <v>1.2939477037099241</v>
      </c>
      <c r="O737" s="1468">
        <v>1.2968203646410479</v>
      </c>
    </row>
    <row r="738" spans="11:15">
      <c r="K738" s="1465">
        <v>42795</v>
      </c>
      <c r="L738" s="1466" t="s">
        <v>2127</v>
      </c>
      <c r="M738" s="1467">
        <v>4.5512999999999998E-2</v>
      </c>
      <c r="N738" s="1468">
        <v>1.2945366181283136</v>
      </c>
      <c r="O738" s="1468">
        <v>1.2975015973467974</v>
      </c>
    </row>
    <row r="739" spans="11:15">
      <c r="K739" s="1465">
        <v>42796</v>
      </c>
      <c r="L739" s="1466" t="s">
        <v>2127</v>
      </c>
      <c r="M739" s="1467">
        <v>4.5512999999999998E-2</v>
      </c>
      <c r="N739" s="1468">
        <v>1.2951258005793223</v>
      </c>
      <c r="O739" s="1468">
        <v>1.2981831879108996</v>
      </c>
    </row>
    <row r="740" spans="11:15">
      <c r="K740" s="1465">
        <v>42797</v>
      </c>
      <c r="L740" s="1466" t="s">
        <v>2127</v>
      </c>
      <c r="M740" s="1467">
        <v>4.5512999999999998E-2</v>
      </c>
      <c r="N740" s="1468">
        <v>1.2957152511849399</v>
      </c>
      <c r="O740" s="1468">
        <v>1.2988651365213411</v>
      </c>
    </row>
    <row r="741" spans="11:15">
      <c r="K741" s="1465">
        <v>42798</v>
      </c>
      <c r="L741" s="1466"/>
      <c r="M741" s="1467">
        <v>0</v>
      </c>
      <c r="N741" s="1468">
        <v>1.2957152511849399</v>
      </c>
      <c r="O741" s="1468">
        <v>1.2988651365213411</v>
      </c>
    </row>
    <row r="742" spans="11:15">
      <c r="K742" s="1465">
        <v>42799</v>
      </c>
      <c r="L742" s="1466"/>
      <c r="M742" s="1467">
        <v>0</v>
      </c>
      <c r="N742" s="1468">
        <v>1.2957152511849399</v>
      </c>
      <c r="O742" s="1468">
        <v>1.2988651365213411</v>
      </c>
    </row>
    <row r="743" spans="11:15">
      <c r="K743" s="1465">
        <v>42800</v>
      </c>
      <c r="L743" s="1466" t="s">
        <v>2127</v>
      </c>
      <c r="M743" s="1467">
        <v>4.5512999999999998E-2</v>
      </c>
      <c r="N743" s="1468">
        <v>1.2963049700672116</v>
      </c>
      <c r="O743" s="1468">
        <v>1.2995474433662071</v>
      </c>
    </row>
    <row r="744" spans="11:15">
      <c r="K744" s="1465">
        <v>42801</v>
      </c>
      <c r="L744" s="1466" t="s">
        <v>2127</v>
      </c>
      <c r="M744" s="1467">
        <v>4.5512999999999998E-2</v>
      </c>
      <c r="N744" s="1468">
        <v>1.2968949573482382</v>
      </c>
      <c r="O744" s="1468">
        <v>1.3002301086336818</v>
      </c>
    </row>
    <row r="745" spans="11:15">
      <c r="K745" s="1465">
        <v>42802</v>
      </c>
      <c r="L745" s="1466" t="s">
        <v>2127</v>
      </c>
      <c r="M745" s="1467">
        <v>4.5512999999999998E-2</v>
      </c>
      <c r="N745" s="1468">
        <v>1.2974852131501762</v>
      </c>
      <c r="O745" s="1468">
        <v>1.3009131325120482</v>
      </c>
    </row>
    <row r="746" spans="11:15">
      <c r="K746" s="1465">
        <v>42803</v>
      </c>
      <c r="L746" s="1466" t="s">
        <v>2127</v>
      </c>
      <c r="M746" s="1467">
        <v>4.5512999999999998E-2</v>
      </c>
      <c r="N746" s="1468">
        <v>1.2980757375952372</v>
      </c>
      <c r="O746" s="1468">
        <v>1.3015965151896882</v>
      </c>
    </row>
    <row r="747" spans="11:15">
      <c r="K747" s="1465">
        <v>42804</v>
      </c>
      <c r="L747" s="1466" t="s">
        <v>2127</v>
      </c>
      <c r="M747" s="1467">
        <v>4.5512999999999998E-2</v>
      </c>
      <c r="N747" s="1468">
        <v>1.2986665308056888</v>
      </c>
      <c r="O747" s="1468">
        <v>1.3022802568550824</v>
      </c>
    </row>
    <row r="748" spans="11:15">
      <c r="K748" s="1465">
        <v>42805</v>
      </c>
      <c r="L748" s="1466"/>
      <c r="M748" s="1467">
        <v>0</v>
      </c>
      <c r="N748" s="1468">
        <v>1.2986665308056888</v>
      </c>
      <c r="O748" s="1468">
        <v>1.3022802568550824</v>
      </c>
    </row>
    <row r="749" spans="11:15">
      <c r="K749" s="1465">
        <v>42806</v>
      </c>
      <c r="L749" s="1466"/>
      <c r="M749" s="1467">
        <v>0</v>
      </c>
      <c r="N749" s="1468">
        <v>1.2986665308056888</v>
      </c>
      <c r="O749" s="1468">
        <v>1.3022802568550824</v>
      </c>
    </row>
    <row r="750" spans="11:15">
      <c r="K750" s="1465">
        <v>42807</v>
      </c>
      <c r="L750" s="1466" t="s">
        <v>2127</v>
      </c>
      <c r="M750" s="1467">
        <v>4.5512999999999998E-2</v>
      </c>
      <c r="N750" s="1468">
        <v>1.2992575929038543</v>
      </c>
      <c r="O750" s="1468">
        <v>1.3029643576968111</v>
      </c>
    </row>
    <row r="751" spans="11:15">
      <c r="K751" s="1465">
        <v>42808</v>
      </c>
      <c r="L751" s="1466" t="s">
        <v>2127</v>
      </c>
      <c r="M751" s="1467">
        <v>4.5512999999999998E-2</v>
      </c>
      <c r="N751" s="1468">
        <v>1.2998489240121127</v>
      </c>
      <c r="O751" s="1468">
        <v>1.3036488179035528</v>
      </c>
    </row>
    <row r="752" spans="11:15">
      <c r="K752" s="1465">
        <v>42809</v>
      </c>
      <c r="L752" s="1466" t="s">
        <v>2127</v>
      </c>
      <c r="M752" s="1467">
        <v>4.5512999999999998E-2</v>
      </c>
      <c r="N752" s="1468">
        <v>1.3004405242528982</v>
      </c>
      <c r="O752" s="1468">
        <v>1.3043336376640857</v>
      </c>
    </row>
    <row r="753" spans="11:15">
      <c r="K753" s="1465">
        <v>42810</v>
      </c>
      <c r="L753" s="1466" t="s">
        <v>2127</v>
      </c>
      <c r="M753" s="1467">
        <v>4.5512999999999998E-2</v>
      </c>
      <c r="N753" s="1468">
        <v>1.3010323937487014</v>
      </c>
      <c r="O753" s="1468">
        <v>1.305018817167287</v>
      </c>
    </row>
    <row r="754" spans="11:15">
      <c r="K754" s="1465">
        <v>42811</v>
      </c>
      <c r="L754" s="1466" t="s">
        <v>2127</v>
      </c>
      <c r="M754" s="1467">
        <v>4.5512999999999998E-2</v>
      </c>
      <c r="N754" s="1468">
        <v>1.3016245326220681</v>
      </c>
      <c r="O754" s="1468">
        <v>1.3057043566021331</v>
      </c>
    </row>
    <row r="755" spans="11:15">
      <c r="K755" s="1465">
        <v>42812</v>
      </c>
      <c r="L755" s="1466"/>
      <c r="M755" s="1467">
        <v>0</v>
      </c>
      <c r="N755" s="1468">
        <v>1.3016245326220681</v>
      </c>
      <c r="O755" s="1468">
        <v>1.3057043566021331</v>
      </c>
    </row>
    <row r="756" spans="11:15">
      <c r="K756" s="1465">
        <v>42813</v>
      </c>
      <c r="L756" s="1466"/>
      <c r="M756" s="1467">
        <v>0</v>
      </c>
      <c r="N756" s="1468">
        <v>1.3016245326220681</v>
      </c>
      <c r="O756" s="1468">
        <v>1.3057043566021331</v>
      </c>
    </row>
    <row r="757" spans="11:15">
      <c r="K757" s="1465">
        <v>42814</v>
      </c>
      <c r="L757" s="1466" t="s">
        <v>2127</v>
      </c>
      <c r="M757" s="1467">
        <v>4.5512999999999998E-2</v>
      </c>
      <c r="N757" s="1468">
        <v>1.3022169409956004</v>
      </c>
      <c r="O757" s="1468">
        <v>1.3063902561576999</v>
      </c>
    </row>
    <row r="758" spans="11:15">
      <c r="K758" s="1465">
        <v>42815</v>
      </c>
      <c r="L758" s="1466" t="s">
        <v>2127</v>
      </c>
      <c r="M758" s="1467">
        <v>4.5512999999999998E-2</v>
      </c>
      <c r="N758" s="1468">
        <v>1.3028096189919556</v>
      </c>
      <c r="O758" s="1468">
        <v>1.3070765160231621</v>
      </c>
    </row>
    <row r="759" spans="11:15">
      <c r="K759" s="1465">
        <v>42816</v>
      </c>
      <c r="L759" s="1466" t="s">
        <v>2127</v>
      </c>
      <c r="M759" s="1467">
        <v>4.5512999999999998E-2</v>
      </c>
      <c r="N759" s="1468">
        <v>1.3034025667338474</v>
      </c>
      <c r="O759" s="1468">
        <v>1.3077631363877942</v>
      </c>
    </row>
    <row r="760" spans="11:15">
      <c r="K760" s="1465">
        <v>42817</v>
      </c>
      <c r="L760" s="1466" t="s">
        <v>2127</v>
      </c>
      <c r="M760" s="1467">
        <v>4.5512999999999998E-2</v>
      </c>
      <c r="N760" s="1468">
        <v>1.3039957843440448</v>
      </c>
      <c r="O760" s="1468">
        <v>1.30845011744097</v>
      </c>
    </row>
    <row r="761" spans="11:15">
      <c r="K761" s="1465">
        <v>42818</v>
      </c>
      <c r="L761" s="1466" t="s">
        <v>2127</v>
      </c>
      <c r="M761" s="1467">
        <v>4.5512999999999998E-2</v>
      </c>
      <c r="N761" s="1468">
        <v>1.3045892719453733</v>
      </c>
      <c r="O761" s="1468">
        <v>1.309137459372163</v>
      </c>
    </row>
    <row r="762" spans="11:15">
      <c r="K762" s="1465">
        <v>42819</v>
      </c>
      <c r="L762" s="1466"/>
      <c r="M762" s="1467">
        <v>0</v>
      </c>
      <c r="N762" s="1468">
        <v>1.3045892719453733</v>
      </c>
      <c r="O762" s="1468">
        <v>1.309137459372163</v>
      </c>
    </row>
    <row r="763" spans="11:15">
      <c r="K763" s="1465">
        <v>42820</v>
      </c>
      <c r="L763" s="1466"/>
      <c r="M763" s="1467">
        <v>0</v>
      </c>
      <c r="N763" s="1468">
        <v>1.3045892719453733</v>
      </c>
      <c r="O763" s="1468">
        <v>1.309137459372163</v>
      </c>
    </row>
    <row r="764" spans="11:15">
      <c r="K764" s="1465">
        <v>42821</v>
      </c>
      <c r="L764" s="1466" t="s">
        <v>2127</v>
      </c>
      <c r="M764" s="1467">
        <v>4.5512999999999998E-2</v>
      </c>
      <c r="N764" s="1468">
        <v>1.3051830296607139</v>
      </c>
      <c r="O764" s="1468">
        <v>1.3098251623709458</v>
      </c>
    </row>
    <row r="765" spans="11:15">
      <c r="K765" s="1465">
        <v>42822</v>
      </c>
      <c r="L765" s="1466" t="s">
        <v>2127</v>
      </c>
      <c r="M765" s="1467">
        <v>4.5512999999999998E-2</v>
      </c>
      <c r="N765" s="1468">
        <v>1.3057770576130032</v>
      </c>
      <c r="O765" s="1468">
        <v>1.310513226626991</v>
      </c>
    </row>
    <row r="766" spans="11:15">
      <c r="K766" s="1465">
        <v>42823</v>
      </c>
      <c r="L766" s="1466" t="s">
        <v>2127</v>
      </c>
      <c r="M766" s="1467">
        <v>4.5512999999999998E-2</v>
      </c>
      <c r="N766" s="1468">
        <v>1.3063713559252346</v>
      </c>
      <c r="O766" s="1468">
        <v>1.3112016523300705</v>
      </c>
    </row>
    <row r="767" spans="11:15">
      <c r="K767" s="1465">
        <v>42824</v>
      </c>
      <c r="L767" s="1466" t="s">
        <v>2127</v>
      </c>
      <c r="M767" s="1467">
        <v>4.5512999999999998E-2</v>
      </c>
      <c r="N767" s="1468">
        <v>1.3069659247204568</v>
      </c>
      <c r="O767" s="1468">
        <v>1.3118904396700559</v>
      </c>
    </row>
    <row r="768" spans="11:15">
      <c r="K768" s="1465">
        <v>42825</v>
      </c>
      <c r="L768" s="1466" t="s">
        <v>2127</v>
      </c>
      <c r="M768" s="1467">
        <v>4.5512999999999998E-2</v>
      </c>
      <c r="N768" s="1468">
        <v>1.3075607641217748</v>
      </c>
      <c r="O768" s="1468">
        <v>1.3125795888369189</v>
      </c>
    </row>
    <row r="769" spans="11:15">
      <c r="K769" s="1465">
        <v>42826</v>
      </c>
      <c r="L769" s="1466"/>
      <c r="M769" s="1467">
        <v>0</v>
      </c>
      <c r="N769" s="1468">
        <v>1.3075607641217748</v>
      </c>
      <c r="O769" s="1468">
        <v>1.3125795888369189</v>
      </c>
    </row>
    <row r="770" spans="11:15">
      <c r="K770" s="1465">
        <v>42827</v>
      </c>
      <c r="L770" s="1466"/>
      <c r="M770" s="1467">
        <v>0</v>
      </c>
      <c r="N770" s="1468">
        <v>1.3075607641217748</v>
      </c>
      <c r="O770" s="1468">
        <v>1.3125795888369189</v>
      </c>
    </row>
    <row r="771" spans="11:15">
      <c r="K771" s="1465">
        <v>42828</v>
      </c>
      <c r="L771" s="1466" t="s">
        <v>2127</v>
      </c>
      <c r="M771" s="1467">
        <v>4.5512999999999998E-2</v>
      </c>
      <c r="N771" s="1468">
        <v>1.3081558742523496</v>
      </c>
      <c r="O771" s="1468">
        <v>1.3132691000207308</v>
      </c>
    </row>
    <row r="772" spans="11:15">
      <c r="K772" s="1465">
        <v>42829</v>
      </c>
      <c r="L772" s="1466" t="s">
        <v>2127</v>
      </c>
      <c r="M772" s="1467">
        <v>4.5512999999999998E-2</v>
      </c>
      <c r="N772" s="1468">
        <v>1.3087512552353979</v>
      </c>
      <c r="O772" s="1468">
        <v>1.3139589734116628</v>
      </c>
    </row>
    <row r="773" spans="11:15">
      <c r="K773" s="1465">
        <v>42830</v>
      </c>
      <c r="L773" s="1466" t="s">
        <v>2127</v>
      </c>
      <c r="M773" s="1467">
        <v>4.5512999999999998E-2</v>
      </c>
      <c r="N773" s="1468">
        <v>1.3093469071941932</v>
      </c>
      <c r="O773" s="1468">
        <v>1.3146492091999857</v>
      </c>
    </row>
    <row r="774" spans="11:15">
      <c r="K774" s="1465">
        <v>42831</v>
      </c>
      <c r="L774" s="1466" t="s">
        <v>2127</v>
      </c>
      <c r="M774" s="1467">
        <v>4.5512999999999998E-2</v>
      </c>
      <c r="N774" s="1468">
        <v>1.3099428302520644</v>
      </c>
      <c r="O774" s="1468">
        <v>1.3153398075760705</v>
      </c>
    </row>
    <row r="775" spans="11:15">
      <c r="K775" s="1465">
        <v>42832</v>
      </c>
      <c r="L775" s="1466" t="s">
        <v>2127</v>
      </c>
      <c r="M775" s="1467">
        <v>4.5512999999999998E-2</v>
      </c>
      <c r="N775" s="1468">
        <v>1.3105390245323969</v>
      </c>
      <c r="O775" s="1468">
        <v>1.3160307687303883</v>
      </c>
    </row>
    <row r="776" spans="11:15">
      <c r="K776" s="1465">
        <v>42833</v>
      </c>
      <c r="L776" s="1466"/>
      <c r="M776" s="1467">
        <v>0</v>
      </c>
      <c r="N776" s="1468">
        <v>1.3105390245323969</v>
      </c>
      <c r="O776" s="1468">
        <v>1.3160307687303883</v>
      </c>
    </row>
    <row r="777" spans="11:15">
      <c r="K777" s="1465">
        <v>42834</v>
      </c>
      <c r="L777" s="1466"/>
      <c r="M777" s="1467">
        <v>0</v>
      </c>
      <c r="N777" s="1468">
        <v>1.3105390245323969</v>
      </c>
      <c r="O777" s="1468">
        <v>1.3160307687303883</v>
      </c>
    </row>
    <row r="778" spans="11:15">
      <c r="K778" s="1465">
        <v>42835</v>
      </c>
      <c r="L778" s="1466" t="s">
        <v>2127</v>
      </c>
      <c r="M778" s="1467">
        <v>4.5512999999999998E-2</v>
      </c>
      <c r="N778" s="1468">
        <v>1.3111354901586323</v>
      </c>
      <c r="O778" s="1468">
        <v>1.3167220928535099</v>
      </c>
    </row>
    <row r="779" spans="11:15">
      <c r="K779" s="1465">
        <v>42836</v>
      </c>
      <c r="L779" s="1466" t="s">
        <v>2127</v>
      </c>
      <c r="M779" s="1467">
        <v>4.5512999999999998E-2</v>
      </c>
      <c r="N779" s="1468">
        <v>1.3117322272542682</v>
      </c>
      <c r="O779" s="1468">
        <v>1.3174137801361068</v>
      </c>
    </row>
    <row r="780" spans="11:15">
      <c r="K780" s="1465">
        <v>42837</v>
      </c>
      <c r="L780" s="1466" t="s">
        <v>2127</v>
      </c>
      <c r="M780" s="1467">
        <v>4.5512999999999998E-2</v>
      </c>
      <c r="N780" s="1468">
        <v>1.3123292359428584</v>
      </c>
      <c r="O780" s="1468">
        <v>1.3181058307689502</v>
      </c>
    </row>
    <row r="781" spans="11:15">
      <c r="K781" s="1465">
        <v>42838</v>
      </c>
      <c r="L781" s="1466" t="s">
        <v>2127</v>
      </c>
      <c r="M781" s="1467">
        <v>4.1957000000000001E-2</v>
      </c>
      <c r="N781" s="1468">
        <v>1.3128798499203831</v>
      </c>
      <c r="O781" s="1468">
        <v>1.3187982449429114</v>
      </c>
    </row>
    <row r="782" spans="11:15">
      <c r="K782" s="1465">
        <v>42839</v>
      </c>
      <c r="L782" s="1466"/>
      <c r="M782" s="1467">
        <v>0</v>
      </c>
      <c r="N782" s="1468">
        <v>1.3128798499203831</v>
      </c>
      <c r="O782" s="1468">
        <v>1.3187982449429114</v>
      </c>
    </row>
    <row r="783" spans="11:15">
      <c r="K783" s="1465">
        <v>42840</v>
      </c>
      <c r="L783" s="1466"/>
      <c r="M783" s="1467">
        <v>0</v>
      </c>
      <c r="N783" s="1468">
        <v>1.3128798499203831</v>
      </c>
      <c r="O783" s="1468">
        <v>1.3187982449429114</v>
      </c>
    </row>
    <row r="784" spans="11:15">
      <c r="K784" s="1465">
        <v>42841</v>
      </c>
      <c r="L784" s="1466"/>
      <c r="M784" s="1467">
        <v>0</v>
      </c>
      <c r="N784" s="1468">
        <v>1.3128798499203831</v>
      </c>
      <c r="O784" s="1468">
        <v>1.3187982449429114</v>
      </c>
    </row>
    <row r="785" spans="11:15">
      <c r="K785" s="1465">
        <v>42842</v>
      </c>
      <c r="L785" s="1466" t="s">
        <v>2127</v>
      </c>
      <c r="M785" s="1467">
        <v>4.1957000000000001E-2</v>
      </c>
      <c r="N785" s="1468">
        <v>1.3134306949190142</v>
      </c>
      <c r="O785" s="1468">
        <v>1.3194910228489625</v>
      </c>
    </row>
    <row r="786" spans="11:15">
      <c r="K786" s="1465">
        <v>42843</v>
      </c>
      <c r="L786" s="1466" t="s">
        <v>2127</v>
      </c>
      <c r="M786" s="1467">
        <v>4.1957000000000001E-2</v>
      </c>
      <c r="N786" s="1468">
        <v>1.3139817710356814</v>
      </c>
      <c r="O786" s="1468">
        <v>1.3201841646781753</v>
      </c>
    </row>
    <row r="787" spans="11:15">
      <c r="K787" s="1465">
        <v>42844</v>
      </c>
      <c r="L787" s="1466" t="s">
        <v>2127</v>
      </c>
      <c r="M787" s="1467">
        <v>4.1957000000000001E-2</v>
      </c>
      <c r="N787" s="1468">
        <v>1.3145330783673548</v>
      </c>
      <c r="O787" s="1468">
        <v>1.3208776706217225</v>
      </c>
    </row>
    <row r="788" spans="11:15">
      <c r="K788" s="1465">
        <v>42845</v>
      </c>
      <c r="L788" s="1466" t="s">
        <v>2127</v>
      </c>
      <c r="M788" s="1467">
        <v>4.1957000000000001E-2</v>
      </c>
      <c r="N788" s="1468">
        <v>1.3150846170110455</v>
      </c>
      <c r="O788" s="1468">
        <v>1.3215715408708768</v>
      </c>
    </row>
    <row r="789" spans="11:15">
      <c r="K789" s="1465">
        <v>42846</v>
      </c>
      <c r="L789" s="1466"/>
      <c r="M789" s="1467">
        <v>0</v>
      </c>
      <c r="N789" s="1468">
        <v>1.3150846170110455</v>
      </c>
      <c r="O789" s="1468">
        <v>1.3215715408708768</v>
      </c>
    </row>
    <row r="790" spans="11:15">
      <c r="K790" s="1465">
        <v>42847</v>
      </c>
      <c r="L790" s="1466"/>
      <c r="M790" s="1467">
        <v>0</v>
      </c>
      <c r="N790" s="1468">
        <v>1.3150846170110455</v>
      </c>
      <c r="O790" s="1468">
        <v>1.3215715408708768</v>
      </c>
    </row>
    <row r="791" spans="11:15">
      <c r="K791" s="1465">
        <v>42848</v>
      </c>
      <c r="L791" s="1466"/>
      <c r="M791" s="1467">
        <v>0</v>
      </c>
      <c r="N791" s="1468">
        <v>1.3150846170110455</v>
      </c>
      <c r="O791" s="1468">
        <v>1.3215715408708768</v>
      </c>
    </row>
    <row r="792" spans="11:15">
      <c r="K792" s="1465">
        <v>42849</v>
      </c>
      <c r="L792" s="1466" t="s">
        <v>2127</v>
      </c>
      <c r="M792" s="1467">
        <v>4.1957000000000001E-2</v>
      </c>
      <c r="N792" s="1468">
        <v>1.3156363870638048</v>
      </c>
      <c r="O792" s="1468">
        <v>1.3222657756170118</v>
      </c>
    </row>
    <row r="793" spans="11:15">
      <c r="K793" s="1465">
        <v>42850</v>
      </c>
      <c r="L793" s="1466" t="s">
        <v>2127</v>
      </c>
      <c r="M793" s="1467">
        <v>4.1957000000000001E-2</v>
      </c>
      <c r="N793" s="1468">
        <v>1.3161883886227252</v>
      </c>
      <c r="O793" s="1468">
        <v>1.322960375051601</v>
      </c>
    </row>
    <row r="794" spans="11:15">
      <c r="K794" s="1465">
        <v>42851</v>
      </c>
      <c r="L794" s="1466" t="s">
        <v>2127</v>
      </c>
      <c r="M794" s="1467">
        <v>4.1957000000000001E-2</v>
      </c>
      <c r="N794" s="1468">
        <v>1.3167406217849398</v>
      </c>
      <c r="O794" s="1468">
        <v>1.3236553393662194</v>
      </c>
    </row>
    <row r="795" spans="11:15">
      <c r="K795" s="1465">
        <v>42852</v>
      </c>
      <c r="L795" s="1466" t="s">
        <v>2127</v>
      </c>
      <c r="M795" s="1467">
        <v>4.1957000000000001E-2</v>
      </c>
      <c r="N795" s="1468">
        <v>1.3172930866476222</v>
      </c>
      <c r="O795" s="1468">
        <v>1.3243506687525419</v>
      </c>
    </row>
    <row r="796" spans="11:15">
      <c r="K796" s="1465">
        <v>42853</v>
      </c>
      <c r="L796" s="1466" t="s">
        <v>2127</v>
      </c>
      <c r="M796" s="1467">
        <v>4.1957000000000001E-2</v>
      </c>
      <c r="N796" s="1468">
        <v>1.3178457833079871</v>
      </c>
      <c r="O796" s="1468">
        <v>1.3250463634023444</v>
      </c>
    </row>
    <row r="797" spans="11:15">
      <c r="K797" s="1465">
        <v>42854</v>
      </c>
      <c r="L797" s="1466"/>
      <c r="M797" s="1467">
        <v>0</v>
      </c>
      <c r="N797" s="1468">
        <v>1.3178457833079871</v>
      </c>
      <c r="O797" s="1468">
        <v>1.3250463634023444</v>
      </c>
    </row>
    <row r="798" spans="11:15">
      <c r="K798" s="1465">
        <v>42855</v>
      </c>
      <c r="L798" s="1466"/>
      <c r="M798" s="1467">
        <v>0</v>
      </c>
      <c r="N798" s="1468">
        <v>1.3178457833079871</v>
      </c>
      <c r="O798" s="1468">
        <v>1.3250463634023444</v>
      </c>
    </row>
    <row r="799" spans="11:15">
      <c r="K799" s="1465">
        <v>42856</v>
      </c>
      <c r="L799" s="1466"/>
      <c r="M799" s="1467">
        <v>0</v>
      </c>
      <c r="N799" s="1468">
        <v>1.3178457833079871</v>
      </c>
      <c r="O799" s="1468">
        <v>1.3250463634023444</v>
      </c>
    </row>
    <row r="800" spans="11:15">
      <c r="K800" s="1465">
        <v>42857</v>
      </c>
      <c r="L800" s="1466" t="s">
        <v>2127</v>
      </c>
      <c r="M800" s="1467">
        <v>4.1957000000000001E-2</v>
      </c>
      <c r="N800" s="1468">
        <v>1.3183987118632896</v>
      </c>
      <c r="O800" s="1468">
        <v>1.3257424235075033</v>
      </c>
    </row>
    <row r="801" spans="11:15">
      <c r="K801" s="1465">
        <v>42858</v>
      </c>
      <c r="L801" s="1466" t="s">
        <v>2127</v>
      </c>
      <c r="M801" s="1467">
        <v>4.1957000000000001E-2</v>
      </c>
      <c r="N801" s="1468">
        <v>1.3189518724108262</v>
      </c>
      <c r="O801" s="1468">
        <v>1.3264388492599959</v>
      </c>
    </row>
    <row r="802" spans="11:15">
      <c r="K802" s="1465">
        <v>42859</v>
      </c>
      <c r="L802" s="1466" t="s">
        <v>2127</v>
      </c>
      <c r="M802" s="1467">
        <v>4.1957000000000001E-2</v>
      </c>
      <c r="N802" s="1468">
        <v>1.3195052650479338</v>
      </c>
      <c r="O802" s="1468">
        <v>1.3271356408519006</v>
      </c>
    </row>
    <row r="803" spans="11:15">
      <c r="K803" s="1465">
        <v>42860</v>
      </c>
      <c r="L803" s="1466" t="s">
        <v>2127</v>
      </c>
      <c r="M803" s="1467">
        <v>4.1957000000000001E-2</v>
      </c>
      <c r="N803" s="1468">
        <v>1.32005888987199</v>
      </c>
      <c r="O803" s="1468">
        <v>1.3278327984753966</v>
      </c>
    </row>
    <row r="804" spans="11:15">
      <c r="K804" s="1465">
        <v>42861</v>
      </c>
      <c r="L804" s="1466"/>
      <c r="M804" s="1467">
        <v>0</v>
      </c>
      <c r="N804" s="1468">
        <v>1.32005888987199</v>
      </c>
      <c r="O804" s="1468">
        <v>1.3278327984753966</v>
      </c>
    </row>
    <row r="805" spans="11:15">
      <c r="K805" s="1465">
        <v>42862</v>
      </c>
      <c r="L805" s="1466"/>
      <c r="M805" s="1467">
        <v>0</v>
      </c>
      <c r="N805" s="1468">
        <v>1.32005888987199</v>
      </c>
      <c r="O805" s="1468">
        <v>1.3278327984753966</v>
      </c>
    </row>
    <row r="806" spans="11:15">
      <c r="K806" s="1465">
        <v>42863</v>
      </c>
      <c r="L806" s="1466" t="s">
        <v>2127</v>
      </c>
      <c r="M806" s="1467">
        <v>4.1957000000000001E-2</v>
      </c>
      <c r="N806" s="1468">
        <v>1.3206127469804136</v>
      </c>
      <c r="O806" s="1468">
        <v>1.3285303223227638</v>
      </c>
    </row>
    <row r="807" spans="11:15">
      <c r="K807" s="1465">
        <v>42864</v>
      </c>
      <c r="L807" s="1466" t="s">
        <v>2127</v>
      </c>
      <c r="M807" s="1467">
        <v>4.1957000000000001E-2</v>
      </c>
      <c r="N807" s="1468">
        <v>1.3211668364706644</v>
      </c>
      <c r="O807" s="1468">
        <v>1.3292282125863832</v>
      </c>
    </row>
    <row r="808" spans="11:15">
      <c r="K808" s="1465">
        <v>42865</v>
      </c>
      <c r="L808" s="1466" t="s">
        <v>2127</v>
      </c>
      <c r="M808" s="1467">
        <v>4.1957000000000001E-2</v>
      </c>
      <c r="N808" s="1468">
        <v>1.3217211584402424</v>
      </c>
      <c r="O808" s="1468">
        <v>1.3299264694587369</v>
      </c>
    </row>
    <row r="809" spans="11:15">
      <c r="K809" s="1465">
        <v>42866</v>
      </c>
      <c r="L809" s="1466" t="s">
        <v>2127</v>
      </c>
      <c r="M809" s="1467">
        <v>4.1957000000000001E-2</v>
      </c>
      <c r="N809" s="1468">
        <v>1.3222757129866893</v>
      </c>
      <c r="O809" s="1468">
        <v>1.3306250931324084</v>
      </c>
    </row>
    <row r="810" spans="11:15">
      <c r="K810" s="1465">
        <v>42867</v>
      </c>
      <c r="L810" s="1466" t="s">
        <v>2127</v>
      </c>
      <c r="M810" s="1467">
        <v>4.1957000000000001E-2</v>
      </c>
      <c r="N810" s="1468">
        <v>1.3228305002075873</v>
      </c>
      <c r="O810" s="1468">
        <v>1.3313240838000817</v>
      </c>
    </row>
    <row r="811" spans="11:15">
      <c r="K811" s="1465">
        <v>42868</v>
      </c>
      <c r="L811" s="1466"/>
      <c r="M811" s="1467">
        <v>0</v>
      </c>
      <c r="N811" s="1468">
        <v>1.3228305002075873</v>
      </c>
      <c r="O811" s="1468">
        <v>1.3313240838000817</v>
      </c>
    </row>
    <row r="812" spans="11:15">
      <c r="K812" s="1465">
        <v>42869</v>
      </c>
      <c r="L812" s="1466"/>
      <c r="M812" s="1467">
        <v>0</v>
      </c>
      <c r="N812" s="1468">
        <v>1.3228305002075873</v>
      </c>
      <c r="O812" s="1468">
        <v>1.3313240838000817</v>
      </c>
    </row>
    <row r="813" spans="11:15">
      <c r="K813" s="1465">
        <v>42870</v>
      </c>
      <c r="L813" s="1466" t="s">
        <v>2127</v>
      </c>
      <c r="M813" s="1467">
        <v>4.1957000000000001E-2</v>
      </c>
      <c r="N813" s="1468">
        <v>1.3233855202005596</v>
      </c>
      <c r="O813" s="1468">
        <v>1.3320234416545427</v>
      </c>
    </row>
    <row r="814" spans="11:15">
      <c r="K814" s="1465">
        <v>42871</v>
      </c>
      <c r="L814" s="1466" t="s">
        <v>2127</v>
      </c>
      <c r="M814" s="1467">
        <v>4.1957000000000001E-2</v>
      </c>
      <c r="N814" s="1468">
        <v>1.3239407730632702</v>
      </c>
      <c r="O814" s="1468">
        <v>1.3327231668886783</v>
      </c>
    </row>
    <row r="815" spans="11:15">
      <c r="K815" s="1465">
        <v>42872</v>
      </c>
      <c r="L815" s="1466" t="s">
        <v>2127</v>
      </c>
      <c r="M815" s="1467">
        <v>4.1957000000000001E-2</v>
      </c>
      <c r="N815" s="1468">
        <v>1.3244962588934244</v>
      </c>
      <c r="O815" s="1468">
        <v>1.3334232596954767</v>
      </c>
    </row>
    <row r="816" spans="11:15">
      <c r="K816" s="1465">
        <v>42873</v>
      </c>
      <c r="L816" s="1466" t="s">
        <v>2127</v>
      </c>
      <c r="M816" s="1467">
        <v>4.1957000000000001E-2</v>
      </c>
      <c r="N816" s="1468">
        <v>1.3250519777887684</v>
      </c>
      <c r="O816" s="1468">
        <v>1.3341237202680274</v>
      </c>
    </row>
    <row r="817" spans="11:15">
      <c r="K817" s="1465">
        <v>42874</v>
      </c>
      <c r="L817" s="1466" t="s">
        <v>2127</v>
      </c>
      <c r="M817" s="1467">
        <v>4.1957000000000001E-2</v>
      </c>
      <c r="N817" s="1468">
        <v>1.3256079298470893</v>
      </c>
      <c r="O817" s="1468">
        <v>1.3348245487995214</v>
      </c>
    </row>
    <row r="818" spans="11:15">
      <c r="K818" s="1465">
        <v>42875</v>
      </c>
      <c r="L818" s="1466"/>
      <c r="M818" s="1467">
        <v>0</v>
      </c>
      <c r="N818" s="1468">
        <v>1.3256079298470893</v>
      </c>
      <c r="O818" s="1468">
        <v>1.3348245487995214</v>
      </c>
    </row>
    <row r="819" spans="11:15">
      <c r="K819" s="1465">
        <v>42876</v>
      </c>
      <c r="L819" s="1466"/>
      <c r="M819" s="1467">
        <v>0</v>
      </c>
      <c r="N819" s="1468">
        <v>1.3256079298470893</v>
      </c>
      <c r="O819" s="1468">
        <v>1.3348245487995214</v>
      </c>
    </row>
    <row r="820" spans="11:15">
      <c r="K820" s="1465">
        <v>42877</v>
      </c>
      <c r="L820" s="1466" t="s">
        <v>2127</v>
      </c>
      <c r="M820" s="1467">
        <v>4.1957000000000001E-2</v>
      </c>
      <c r="N820" s="1468">
        <v>1.3261641151662154</v>
      </c>
      <c r="O820" s="1468">
        <v>1.3355257454832512</v>
      </c>
    </row>
    <row r="821" spans="11:15">
      <c r="K821" s="1465">
        <v>42878</v>
      </c>
      <c r="L821" s="1466" t="s">
        <v>2127</v>
      </c>
      <c r="M821" s="1467">
        <v>4.1957000000000001E-2</v>
      </c>
      <c r="N821" s="1468">
        <v>1.3267205338440158</v>
      </c>
      <c r="O821" s="1468">
        <v>1.336227310512611</v>
      </c>
    </row>
    <row r="822" spans="11:15">
      <c r="K822" s="1465">
        <v>42879</v>
      </c>
      <c r="L822" s="1466" t="s">
        <v>2127</v>
      </c>
      <c r="M822" s="1467">
        <v>4.1957000000000001E-2</v>
      </c>
      <c r="N822" s="1468">
        <v>1.3272771859784007</v>
      </c>
      <c r="O822" s="1468">
        <v>1.3369292440810965</v>
      </c>
    </row>
    <row r="823" spans="11:15">
      <c r="K823" s="1465">
        <v>42880</v>
      </c>
      <c r="L823" s="1466" t="s">
        <v>2127</v>
      </c>
      <c r="M823" s="1467">
        <v>4.1957000000000001E-2</v>
      </c>
      <c r="N823" s="1468">
        <v>1.3278340716673218</v>
      </c>
      <c r="O823" s="1468">
        <v>1.3376315463823047</v>
      </c>
    </row>
    <row r="824" spans="11:15">
      <c r="K824" s="1465">
        <v>42881</v>
      </c>
      <c r="L824" s="1466" t="s">
        <v>2127</v>
      </c>
      <c r="M824" s="1467">
        <v>4.1957000000000001E-2</v>
      </c>
      <c r="N824" s="1468">
        <v>1.3283911910087713</v>
      </c>
      <c r="O824" s="1468">
        <v>1.3383342176099349</v>
      </c>
    </row>
    <row r="825" spans="11:15">
      <c r="K825" s="1465">
        <v>42882</v>
      </c>
      <c r="L825" s="1466"/>
      <c r="M825" s="1467">
        <v>0</v>
      </c>
      <c r="N825" s="1468">
        <v>1.3283911910087713</v>
      </c>
      <c r="O825" s="1468">
        <v>1.3383342176099349</v>
      </c>
    </row>
    <row r="826" spans="11:15">
      <c r="K826" s="1465">
        <v>42883</v>
      </c>
      <c r="L826" s="1466"/>
      <c r="M826" s="1467">
        <v>0</v>
      </c>
      <c r="N826" s="1468">
        <v>1.3283911910087713</v>
      </c>
      <c r="O826" s="1468">
        <v>1.3383342176099349</v>
      </c>
    </row>
    <row r="827" spans="11:15">
      <c r="K827" s="1465">
        <v>42884</v>
      </c>
      <c r="L827" s="1466" t="s">
        <v>2127</v>
      </c>
      <c r="M827" s="1467">
        <v>4.1957000000000001E-2</v>
      </c>
      <c r="N827" s="1468">
        <v>1.3289485441007829</v>
      </c>
      <c r="O827" s="1468">
        <v>1.3390372579577876</v>
      </c>
    </row>
    <row r="828" spans="11:15">
      <c r="K828" s="1465">
        <v>42885</v>
      </c>
      <c r="L828" s="1466" t="s">
        <v>2127</v>
      </c>
      <c r="M828" s="1467">
        <v>4.1957000000000001E-2</v>
      </c>
      <c r="N828" s="1468">
        <v>1.3295061310414313</v>
      </c>
      <c r="O828" s="1468">
        <v>1.3397406676197654</v>
      </c>
    </row>
    <row r="829" spans="11:15">
      <c r="K829" s="1465">
        <v>42886</v>
      </c>
      <c r="L829" s="1466" t="s">
        <v>2127</v>
      </c>
      <c r="M829" s="1467">
        <v>4.1957000000000001E-2</v>
      </c>
      <c r="N829" s="1468">
        <v>1.3300639519288324</v>
      </c>
      <c r="O829" s="1468">
        <v>1.3404444467898728</v>
      </c>
    </row>
    <row r="830" spans="11:15">
      <c r="K830" s="1465">
        <v>42887</v>
      </c>
      <c r="L830" s="1466" t="s">
        <v>2127</v>
      </c>
      <c r="M830" s="1467">
        <v>3.8370000000000001E-2</v>
      </c>
      <c r="N830" s="1468">
        <v>1.3305742974671875</v>
      </c>
      <c r="O830" s="1468">
        <v>1.341148595662216</v>
      </c>
    </row>
    <row r="831" spans="11:15">
      <c r="K831" s="1465">
        <v>42888</v>
      </c>
      <c r="L831" s="1466" t="s">
        <v>2127</v>
      </c>
      <c r="M831" s="1467">
        <v>3.8370000000000001E-2</v>
      </c>
      <c r="N831" s="1468">
        <v>1.3310848388251255</v>
      </c>
      <c r="O831" s="1468">
        <v>1.3418531144310033</v>
      </c>
    </row>
    <row r="832" spans="11:15">
      <c r="K832" s="1465">
        <v>42889</v>
      </c>
      <c r="L832" s="1466"/>
      <c r="M832" s="1467">
        <v>0</v>
      </c>
      <c r="N832" s="1468">
        <v>1.3310848388251255</v>
      </c>
      <c r="O832" s="1468">
        <v>1.3418531144310033</v>
      </c>
    </row>
    <row r="833" spans="11:15">
      <c r="K833" s="1465">
        <v>42890</v>
      </c>
      <c r="L833" s="1466"/>
      <c r="M833" s="1467">
        <v>0</v>
      </c>
      <c r="N833" s="1468">
        <v>1.3310848388251255</v>
      </c>
      <c r="O833" s="1468">
        <v>1.3418531144310033</v>
      </c>
    </row>
    <row r="834" spans="11:15">
      <c r="K834" s="1465">
        <v>42891</v>
      </c>
      <c r="L834" s="1466" t="s">
        <v>2127</v>
      </c>
      <c r="M834" s="1467">
        <v>3.8370000000000001E-2</v>
      </c>
      <c r="N834" s="1468">
        <v>1.3315955760777827</v>
      </c>
      <c r="O834" s="1468">
        <v>1.3425580032905451</v>
      </c>
    </row>
    <row r="835" spans="11:15">
      <c r="K835" s="1465">
        <v>42892</v>
      </c>
      <c r="L835" s="1466" t="s">
        <v>2127</v>
      </c>
      <c r="M835" s="1467">
        <v>3.8370000000000001E-2</v>
      </c>
      <c r="N835" s="1468">
        <v>1.3321065093003237</v>
      </c>
      <c r="O835" s="1468">
        <v>1.3432632624352536</v>
      </c>
    </row>
    <row r="836" spans="11:15">
      <c r="K836" s="1465">
        <v>42893</v>
      </c>
      <c r="L836" s="1466" t="s">
        <v>2127</v>
      </c>
      <c r="M836" s="1467">
        <v>3.8370000000000001E-2</v>
      </c>
      <c r="N836" s="1468">
        <v>1.3326176385679422</v>
      </c>
      <c r="O836" s="1468">
        <v>1.3439688920596435</v>
      </c>
    </row>
    <row r="837" spans="11:15">
      <c r="K837" s="1465">
        <v>42894</v>
      </c>
      <c r="L837" s="1466" t="s">
        <v>2127</v>
      </c>
      <c r="M837" s="1467">
        <v>3.8370000000000001E-2</v>
      </c>
      <c r="N837" s="1468">
        <v>1.3331289639558608</v>
      </c>
      <c r="O837" s="1468">
        <v>1.3446748923583314</v>
      </c>
    </row>
    <row r="838" spans="11:15">
      <c r="K838" s="1465">
        <v>42895</v>
      </c>
      <c r="L838" s="1466" t="s">
        <v>2127</v>
      </c>
      <c r="M838" s="1467">
        <v>3.8370000000000001E-2</v>
      </c>
      <c r="N838" s="1468">
        <v>1.3336404855393307</v>
      </c>
      <c r="O838" s="1468">
        <v>1.345381263526036</v>
      </c>
    </row>
    <row r="839" spans="11:15">
      <c r="K839" s="1465">
        <v>42896</v>
      </c>
      <c r="L839" s="1466"/>
      <c r="M839" s="1467">
        <v>0</v>
      </c>
      <c r="N839" s="1468">
        <v>1.3336404855393307</v>
      </c>
      <c r="O839" s="1468">
        <v>1.345381263526036</v>
      </c>
    </row>
    <row r="840" spans="11:15">
      <c r="K840" s="1465">
        <v>42897</v>
      </c>
      <c r="L840" s="1466"/>
      <c r="M840" s="1467">
        <v>0</v>
      </c>
      <c r="N840" s="1468">
        <v>1.3336404855393307</v>
      </c>
      <c r="O840" s="1468">
        <v>1.345381263526036</v>
      </c>
    </row>
    <row r="841" spans="11:15">
      <c r="K841" s="1465">
        <v>42898</v>
      </c>
      <c r="L841" s="1466" t="s">
        <v>2127</v>
      </c>
      <c r="M841" s="1467">
        <v>3.8370000000000001E-2</v>
      </c>
      <c r="N841" s="1468">
        <v>1.3341522033936322</v>
      </c>
      <c r="O841" s="1468">
        <v>1.3460880057575788</v>
      </c>
    </row>
    <row r="842" spans="11:15">
      <c r="K842" s="1465">
        <v>42899</v>
      </c>
      <c r="L842" s="1466" t="s">
        <v>2127</v>
      </c>
      <c r="M842" s="1467">
        <v>3.8370000000000001E-2</v>
      </c>
      <c r="N842" s="1468">
        <v>1.3346641175940743</v>
      </c>
      <c r="O842" s="1468">
        <v>1.3467951192478833</v>
      </c>
    </row>
    <row r="843" spans="11:15">
      <c r="K843" s="1465">
        <v>42900</v>
      </c>
      <c r="L843" s="1466" t="s">
        <v>2127</v>
      </c>
      <c r="M843" s="1467">
        <v>3.8370000000000001E-2</v>
      </c>
      <c r="N843" s="1468">
        <v>1.3351762282159951</v>
      </c>
      <c r="O843" s="1468">
        <v>1.3475026041919753</v>
      </c>
    </row>
    <row r="844" spans="11:15">
      <c r="K844" s="1465">
        <v>42901</v>
      </c>
      <c r="L844" s="1466"/>
      <c r="M844" s="1467">
        <v>0</v>
      </c>
      <c r="N844" s="1468">
        <v>1.3351762282159951</v>
      </c>
      <c r="O844" s="1468">
        <v>1.3475026041919753</v>
      </c>
    </row>
    <row r="845" spans="11:15">
      <c r="K845" s="1465">
        <v>42902</v>
      </c>
      <c r="L845" s="1466" t="s">
        <v>2127</v>
      </c>
      <c r="M845" s="1467">
        <v>3.8370000000000001E-2</v>
      </c>
      <c r="N845" s="1468">
        <v>1.3356885353347616</v>
      </c>
      <c r="O845" s="1468">
        <v>1.3482104607849834</v>
      </c>
    </row>
    <row r="846" spans="11:15">
      <c r="K846" s="1465">
        <v>42903</v>
      </c>
      <c r="L846" s="1466"/>
      <c r="M846" s="1467">
        <v>0</v>
      </c>
      <c r="N846" s="1468">
        <v>1.3356885353347616</v>
      </c>
      <c r="O846" s="1468">
        <v>1.3482104607849834</v>
      </c>
    </row>
    <row r="847" spans="11:15">
      <c r="K847" s="1465">
        <v>42904</v>
      </c>
      <c r="L847" s="1466"/>
      <c r="M847" s="1467">
        <v>0</v>
      </c>
      <c r="N847" s="1468">
        <v>1.3356885353347616</v>
      </c>
      <c r="O847" s="1468">
        <v>1.3482104607849834</v>
      </c>
    </row>
    <row r="848" spans="11:15">
      <c r="K848" s="1465">
        <v>42905</v>
      </c>
      <c r="L848" s="1466" t="s">
        <v>2127</v>
      </c>
      <c r="M848" s="1467">
        <v>3.8370000000000001E-2</v>
      </c>
      <c r="N848" s="1468">
        <v>1.3362010390257695</v>
      </c>
      <c r="O848" s="1468">
        <v>1.3489186892221383</v>
      </c>
    </row>
    <row r="849" spans="11:15">
      <c r="K849" s="1465">
        <v>42906</v>
      </c>
      <c r="L849" s="1466" t="s">
        <v>2127</v>
      </c>
      <c r="M849" s="1467">
        <v>3.8370000000000001E-2</v>
      </c>
      <c r="N849" s="1468">
        <v>1.3367137393644437</v>
      </c>
      <c r="O849" s="1468">
        <v>1.3496272896987735</v>
      </c>
    </row>
    <row r="850" spans="11:15">
      <c r="K850" s="1465">
        <v>42907</v>
      </c>
      <c r="L850" s="1466" t="s">
        <v>2127</v>
      </c>
      <c r="M850" s="1467">
        <v>3.8370000000000001E-2</v>
      </c>
      <c r="N850" s="1468">
        <v>1.3372266364262377</v>
      </c>
      <c r="O850" s="1468">
        <v>1.3503362624103252</v>
      </c>
    </row>
    <row r="851" spans="11:15">
      <c r="K851" s="1465">
        <v>42908</v>
      </c>
      <c r="L851" s="1466" t="s">
        <v>2127</v>
      </c>
      <c r="M851" s="1467">
        <v>3.8370000000000001E-2</v>
      </c>
      <c r="N851" s="1468">
        <v>1.3377397302866345</v>
      </c>
      <c r="O851" s="1468">
        <v>1.3510456075523321</v>
      </c>
    </row>
    <row r="852" spans="11:15">
      <c r="K852" s="1465">
        <v>42909</v>
      </c>
      <c r="L852" s="1466" t="s">
        <v>2127</v>
      </c>
      <c r="M852" s="1467">
        <v>3.8370000000000001E-2</v>
      </c>
      <c r="N852" s="1468">
        <v>1.3382530210211454</v>
      </c>
      <c r="O852" s="1468">
        <v>1.3517553253204353</v>
      </c>
    </row>
    <row r="853" spans="11:15">
      <c r="K853" s="1465">
        <v>42910</v>
      </c>
      <c r="L853" s="1466"/>
      <c r="M853" s="1467">
        <v>0</v>
      </c>
      <c r="N853" s="1468">
        <v>1.3382530210211454</v>
      </c>
      <c r="O853" s="1468">
        <v>1.3517553253204353</v>
      </c>
    </row>
    <row r="854" spans="11:15">
      <c r="K854" s="1465">
        <v>42911</v>
      </c>
      <c r="L854" s="1466"/>
      <c r="M854" s="1467">
        <v>0</v>
      </c>
      <c r="N854" s="1468">
        <v>1.3382530210211454</v>
      </c>
      <c r="O854" s="1468">
        <v>1.3517553253204353</v>
      </c>
    </row>
    <row r="855" spans="11:15">
      <c r="K855" s="1465">
        <v>42912</v>
      </c>
      <c r="L855" s="1466" t="s">
        <v>2127</v>
      </c>
      <c r="M855" s="1467">
        <v>3.8370000000000001E-2</v>
      </c>
      <c r="N855" s="1468">
        <v>1.3387665087053111</v>
      </c>
      <c r="O855" s="1468">
        <v>1.3524654159103793</v>
      </c>
    </row>
    <row r="856" spans="11:15">
      <c r="K856" s="1465">
        <v>42913</v>
      </c>
      <c r="L856" s="1466" t="s">
        <v>2127</v>
      </c>
      <c r="M856" s="1467">
        <v>3.8370000000000001E-2</v>
      </c>
      <c r="N856" s="1468">
        <v>1.3392801934147014</v>
      </c>
      <c r="O856" s="1468">
        <v>1.3531758795180111</v>
      </c>
    </row>
    <row r="857" spans="11:15">
      <c r="K857" s="1465">
        <v>42914</v>
      </c>
      <c r="L857" s="1466" t="s">
        <v>2127</v>
      </c>
      <c r="M857" s="1467">
        <v>3.8370000000000001E-2</v>
      </c>
      <c r="N857" s="1468">
        <v>1.3397940752249147</v>
      </c>
      <c r="O857" s="1468">
        <v>1.3538867163392807</v>
      </c>
    </row>
    <row r="858" spans="11:15">
      <c r="K858" s="1465">
        <v>42915</v>
      </c>
      <c r="L858" s="1466" t="s">
        <v>2127</v>
      </c>
      <c r="M858" s="1467">
        <v>3.8370000000000001E-2</v>
      </c>
      <c r="N858" s="1468">
        <v>1.3403081542115785</v>
      </c>
      <c r="O858" s="1468">
        <v>1.3545979265702408</v>
      </c>
    </row>
    <row r="859" spans="11:15">
      <c r="K859" s="1465">
        <v>42916</v>
      </c>
      <c r="L859" s="1466" t="s">
        <v>2127</v>
      </c>
      <c r="M859" s="1467">
        <v>3.8370000000000001E-2</v>
      </c>
      <c r="N859" s="1468">
        <v>1.3408224304503493</v>
      </c>
      <c r="O859" s="1468">
        <v>1.3553095104070474</v>
      </c>
    </row>
    <row r="860" spans="11:15">
      <c r="K860" s="1465">
        <v>42917</v>
      </c>
      <c r="L860" s="1466"/>
      <c r="M860" s="1467">
        <v>0</v>
      </c>
      <c r="N860" s="1468">
        <v>1.3408224304503493</v>
      </c>
      <c r="O860" s="1468">
        <v>1.3553095104070474</v>
      </c>
    </row>
    <row r="861" spans="11:15">
      <c r="K861" s="1465">
        <v>42918</v>
      </c>
      <c r="L861" s="1466"/>
      <c r="M861" s="1467">
        <v>0</v>
      </c>
      <c r="N861" s="1468">
        <v>1.3408224304503493</v>
      </c>
      <c r="O861" s="1468">
        <v>1.3553095104070474</v>
      </c>
    </row>
    <row r="862" spans="11:15">
      <c r="K862" s="1465">
        <v>42919</v>
      </c>
      <c r="L862" s="1466" t="s">
        <v>2127</v>
      </c>
      <c r="M862" s="1467">
        <v>3.8370000000000001E-2</v>
      </c>
      <c r="N862" s="1468">
        <v>1.3413369040169132</v>
      </c>
      <c r="O862" s="1468">
        <v>1.3560214680459592</v>
      </c>
    </row>
    <row r="863" spans="11:15">
      <c r="K863" s="1465">
        <v>42920</v>
      </c>
      <c r="L863" s="1466" t="s">
        <v>2127</v>
      </c>
      <c r="M863" s="1467">
        <v>3.8370000000000001E-2</v>
      </c>
      <c r="N863" s="1468">
        <v>1.3418515749869844</v>
      </c>
      <c r="O863" s="1468">
        <v>1.3567337996833384</v>
      </c>
    </row>
    <row r="864" spans="11:15">
      <c r="K864" s="1465">
        <v>42921</v>
      </c>
      <c r="L864" s="1466" t="s">
        <v>2127</v>
      </c>
      <c r="M864" s="1467">
        <v>3.8370000000000001E-2</v>
      </c>
      <c r="N864" s="1468">
        <v>1.342366443436307</v>
      </c>
      <c r="O864" s="1468">
        <v>1.3574465055156502</v>
      </c>
    </row>
    <row r="865" spans="11:15">
      <c r="K865" s="1465">
        <v>42922</v>
      </c>
      <c r="L865" s="1466" t="s">
        <v>2127</v>
      </c>
      <c r="M865" s="1467">
        <v>3.8370000000000001E-2</v>
      </c>
      <c r="N865" s="1468">
        <v>1.3428815094406534</v>
      </c>
      <c r="O865" s="1468">
        <v>1.3581595857394626</v>
      </c>
    </row>
    <row r="866" spans="11:15">
      <c r="K866" s="1465">
        <v>42923</v>
      </c>
      <c r="L866" s="1466" t="s">
        <v>2127</v>
      </c>
      <c r="M866" s="1467">
        <v>3.8370000000000001E-2</v>
      </c>
      <c r="N866" s="1468">
        <v>1.3433967730758258</v>
      </c>
      <c r="O866" s="1468">
        <v>1.3588730405514473</v>
      </c>
    </row>
    <row r="867" spans="11:15">
      <c r="K867" s="1465">
        <v>42924</v>
      </c>
      <c r="L867" s="1466"/>
      <c r="M867" s="1467">
        <v>0</v>
      </c>
      <c r="N867" s="1468">
        <v>1.3433967730758258</v>
      </c>
      <c r="O867" s="1468">
        <v>1.3588730405514473</v>
      </c>
    </row>
    <row r="868" spans="11:15">
      <c r="K868" s="1465">
        <v>42925</v>
      </c>
      <c r="L868" s="1466"/>
      <c r="M868" s="1467">
        <v>0</v>
      </c>
      <c r="N868" s="1468">
        <v>1.3433967730758258</v>
      </c>
      <c r="O868" s="1468">
        <v>1.3588730405514473</v>
      </c>
    </row>
    <row r="869" spans="11:15">
      <c r="K869" s="1465">
        <v>42926</v>
      </c>
      <c r="L869" s="1466" t="s">
        <v>2127</v>
      </c>
      <c r="M869" s="1467">
        <v>3.8370000000000001E-2</v>
      </c>
      <c r="N869" s="1468">
        <v>1.3439122344176551</v>
      </c>
      <c r="O869" s="1468">
        <v>1.3595868701483793</v>
      </c>
    </row>
    <row r="870" spans="11:15">
      <c r="K870" s="1465">
        <v>42927</v>
      </c>
      <c r="L870" s="1466" t="s">
        <v>2127</v>
      </c>
      <c r="M870" s="1467">
        <v>3.8370000000000001E-2</v>
      </c>
      <c r="N870" s="1468">
        <v>1.3444278935420011</v>
      </c>
      <c r="O870" s="1468">
        <v>1.3603010747271369</v>
      </c>
    </row>
    <row r="871" spans="11:15">
      <c r="K871" s="1465">
        <v>42928</v>
      </c>
      <c r="L871" s="1466" t="s">
        <v>2127</v>
      </c>
      <c r="M871" s="1467">
        <v>3.8370000000000001E-2</v>
      </c>
      <c r="N871" s="1468">
        <v>1.3449437505247532</v>
      </c>
      <c r="O871" s="1468">
        <v>1.3610156544847019</v>
      </c>
    </row>
    <row r="872" spans="11:15">
      <c r="K872" s="1465">
        <v>42929</v>
      </c>
      <c r="L872" s="1466" t="s">
        <v>2127</v>
      </c>
      <c r="M872" s="1467">
        <v>3.8370000000000001E-2</v>
      </c>
      <c r="N872" s="1468">
        <v>1.3454598054418296</v>
      </c>
      <c r="O872" s="1468">
        <v>1.3617306096181592</v>
      </c>
    </row>
    <row r="873" spans="11:15">
      <c r="K873" s="1465">
        <v>42930</v>
      </c>
      <c r="L873" s="1466" t="s">
        <v>2127</v>
      </c>
      <c r="M873" s="1467">
        <v>3.8370000000000001E-2</v>
      </c>
      <c r="N873" s="1468">
        <v>1.3459760583691776</v>
      </c>
      <c r="O873" s="1468">
        <v>1.3624459403246978</v>
      </c>
    </row>
    <row r="874" spans="11:15">
      <c r="K874" s="1465">
        <v>42931</v>
      </c>
      <c r="L874" s="1466"/>
      <c r="M874" s="1467">
        <v>0</v>
      </c>
      <c r="N874" s="1468">
        <v>1.3459760583691776</v>
      </c>
      <c r="O874" s="1468">
        <v>1.3624459403246978</v>
      </c>
    </row>
    <row r="875" spans="11:15">
      <c r="K875" s="1465">
        <v>42932</v>
      </c>
      <c r="L875" s="1466"/>
      <c r="M875" s="1467">
        <v>0</v>
      </c>
      <c r="N875" s="1468">
        <v>1.3459760583691776</v>
      </c>
      <c r="O875" s="1468">
        <v>1.3624459403246978</v>
      </c>
    </row>
    <row r="876" spans="11:15">
      <c r="K876" s="1465">
        <v>42933</v>
      </c>
      <c r="L876" s="1466" t="s">
        <v>2127</v>
      </c>
      <c r="M876" s="1467">
        <v>3.8370000000000001E-2</v>
      </c>
      <c r="N876" s="1468">
        <v>1.3464925093827738</v>
      </c>
      <c r="O876" s="1468">
        <v>1.3631616468016097</v>
      </c>
    </row>
    <row r="877" spans="11:15">
      <c r="K877" s="1465">
        <v>42934</v>
      </c>
      <c r="L877" s="1466" t="s">
        <v>2127</v>
      </c>
      <c r="M877" s="1467">
        <v>3.8370000000000001E-2</v>
      </c>
      <c r="N877" s="1468">
        <v>1.3470091585586239</v>
      </c>
      <c r="O877" s="1468">
        <v>1.3638777292462911</v>
      </c>
    </row>
    <row r="878" spans="11:15">
      <c r="K878" s="1465">
        <v>42935</v>
      </c>
      <c r="L878" s="1466" t="s">
        <v>2127</v>
      </c>
      <c r="M878" s="1467">
        <v>3.8370000000000001E-2</v>
      </c>
      <c r="N878" s="1468">
        <v>1.3475260059727627</v>
      </c>
      <c r="O878" s="1468">
        <v>1.3645941878562415</v>
      </c>
    </row>
    <row r="879" spans="11:15">
      <c r="K879" s="1465">
        <v>42936</v>
      </c>
      <c r="L879" s="1466" t="s">
        <v>2127</v>
      </c>
      <c r="M879" s="1467">
        <v>3.8370000000000001E-2</v>
      </c>
      <c r="N879" s="1468">
        <v>1.3480430517012545</v>
      </c>
      <c r="O879" s="1468">
        <v>1.3653110228290644</v>
      </c>
    </row>
    <row r="880" spans="11:15">
      <c r="K880" s="1465">
        <v>42937</v>
      </c>
      <c r="L880" s="1466" t="s">
        <v>2127</v>
      </c>
      <c r="M880" s="1467">
        <v>3.8370000000000001E-2</v>
      </c>
      <c r="N880" s="1468">
        <v>1.3485602958201923</v>
      </c>
      <c r="O880" s="1468">
        <v>1.3660282343624668</v>
      </c>
    </row>
    <row r="881" spans="11:15">
      <c r="K881" s="1465">
        <v>42938</v>
      </c>
      <c r="L881" s="1466"/>
      <c r="M881" s="1467">
        <v>0</v>
      </c>
      <c r="N881" s="1468">
        <v>1.3485602958201923</v>
      </c>
      <c r="O881" s="1468">
        <v>1.3660282343624668</v>
      </c>
    </row>
    <row r="882" spans="11:15">
      <c r="K882" s="1465">
        <v>42939</v>
      </c>
      <c r="L882" s="1466"/>
      <c r="M882" s="1467">
        <v>0</v>
      </c>
      <c r="N882" s="1468">
        <v>1.3485602958201923</v>
      </c>
      <c r="O882" s="1468">
        <v>1.3660282343624668</v>
      </c>
    </row>
    <row r="883" spans="11:15">
      <c r="K883" s="1465">
        <v>42940</v>
      </c>
      <c r="L883" s="1466" t="s">
        <v>2127</v>
      </c>
      <c r="M883" s="1467">
        <v>3.8370000000000001E-2</v>
      </c>
      <c r="N883" s="1468">
        <v>1.3490777384056984</v>
      </c>
      <c r="O883" s="1468">
        <v>1.3667458226542597</v>
      </c>
    </row>
    <row r="884" spans="11:15">
      <c r="K884" s="1465">
        <v>42941</v>
      </c>
      <c r="L884" s="1466" t="s">
        <v>2127</v>
      </c>
      <c r="M884" s="1467">
        <v>3.8370000000000001E-2</v>
      </c>
      <c r="N884" s="1468">
        <v>1.3495953795339246</v>
      </c>
      <c r="O884" s="1468">
        <v>1.3674637879023581</v>
      </c>
    </row>
    <row r="885" spans="11:15">
      <c r="K885" s="1465">
        <v>42942</v>
      </c>
      <c r="L885" s="1466" t="s">
        <v>2127</v>
      </c>
      <c r="M885" s="1467">
        <v>3.8370000000000001E-2</v>
      </c>
      <c r="N885" s="1468">
        <v>1.3501132192810517</v>
      </c>
      <c r="O885" s="1468">
        <v>1.3681821303047812</v>
      </c>
    </row>
    <row r="886" spans="11:15">
      <c r="K886" s="1465">
        <v>42943</v>
      </c>
      <c r="L886" s="1466" t="s">
        <v>2127</v>
      </c>
      <c r="M886" s="1467">
        <v>3.4749000000000002E-2</v>
      </c>
      <c r="N886" s="1468">
        <v>1.3505823701236197</v>
      </c>
      <c r="O886" s="1468">
        <v>1.3689008500596516</v>
      </c>
    </row>
    <row r="887" spans="11:15">
      <c r="K887" s="1465">
        <v>42944</v>
      </c>
      <c r="L887" s="1466" t="s">
        <v>2127</v>
      </c>
      <c r="M887" s="1467">
        <v>3.4749000000000002E-2</v>
      </c>
      <c r="N887" s="1468">
        <v>1.351051683991414</v>
      </c>
      <c r="O887" s="1468">
        <v>1.3696199473651964</v>
      </c>
    </row>
    <row r="888" spans="11:15">
      <c r="K888" s="1465">
        <v>42945</v>
      </c>
      <c r="L888" s="1466"/>
      <c r="M888" s="1467">
        <v>0</v>
      </c>
      <c r="N888" s="1468">
        <v>1.351051683991414</v>
      </c>
      <c r="O888" s="1468">
        <v>1.3696199473651964</v>
      </c>
    </row>
    <row r="889" spans="11:15">
      <c r="K889" s="1465">
        <v>42946</v>
      </c>
      <c r="L889" s="1466"/>
      <c r="M889" s="1467">
        <v>0</v>
      </c>
      <c r="N889" s="1468">
        <v>1.351051683991414</v>
      </c>
      <c r="O889" s="1468">
        <v>1.3696199473651964</v>
      </c>
    </row>
    <row r="890" spans="11:15">
      <c r="K890" s="1465">
        <v>42947</v>
      </c>
      <c r="L890" s="1466" t="s">
        <v>2127</v>
      </c>
      <c r="M890" s="1467">
        <v>3.4749000000000002E-2</v>
      </c>
      <c r="N890" s="1468">
        <v>1.3515211609410842</v>
      </c>
      <c r="O890" s="1468">
        <v>1.3703394224197469</v>
      </c>
    </row>
    <row r="891" spans="11:15">
      <c r="K891" s="1465">
        <v>42948</v>
      </c>
      <c r="L891" s="1466" t="s">
        <v>2127</v>
      </c>
      <c r="M891" s="1467">
        <v>3.4749000000000002E-2</v>
      </c>
      <c r="N891" s="1468">
        <v>1.3519908010292996</v>
      </c>
      <c r="O891" s="1468">
        <v>1.3710592754217383</v>
      </c>
    </row>
    <row r="892" spans="11:15">
      <c r="K892" s="1465">
        <v>42949</v>
      </c>
      <c r="L892" s="1466" t="s">
        <v>2127</v>
      </c>
      <c r="M892" s="1467">
        <v>3.4749000000000002E-2</v>
      </c>
      <c r="N892" s="1468">
        <v>1.3524606043127492</v>
      </c>
      <c r="O892" s="1468">
        <v>1.37177950656971</v>
      </c>
    </row>
    <row r="893" spans="11:15">
      <c r="K893" s="1465">
        <v>42950</v>
      </c>
      <c r="L893" s="1466" t="s">
        <v>2127</v>
      </c>
      <c r="M893" s="1467">
        <v>3.4749000000000002E-2</v>
      </c>
      <c r="N893" s="1468">
        <v>1.3529305708481418</v>
      </c>
      <c r="O893" s="1468">
        <v>1.3725001160623063</v>
      </c>
    </row>
    <row r="894" spans="11:15">
      <c r="K894" s="1465">
        <v>42951</v>
      </c>
      <c r="L894" s="1466" t="s">
        <v>2127</v>
      </c>
      <c r="M894" s="1467">
        <v>3.4749000000000002E-2</v>
      </c>
      <c r="N894" s="1468">
        <v>1.353400700692206</v>
      </c>
      <c r="O894" s="1468">
        <v>1.3732211040982749</v>
      </c>
    </row>
    <row r="895" spans="11:15">
      <c r="K895" s="1465">
        <v>42952</v>
      </c>
      <c r="L895" s="1466"/>
      <c r="M895" s="1467">
        <v>0</v>
      </c>
      <c r="N895" s="1468">
        <v>1.353400700692206</v>
      </c>
      <c r="O895" s="1468">
        <v>1.3732211040982749</v>
      </c>
    </row>
    <row r="896" spans="11:15">
      <c r="K896" s="1465">
        <v>42953</v>
      </c>
      <c r="L896" s="1466"/>
      <c r="M896" s="1467">
        <v>0</v>
      </c>
      <c r="N896" s="1468">
        <v>1.353400700692206</v>
      </c>
      <c r="O896" s="1468">
        <v>1.3732211040982749</v>
      </c>
    </row>
    <row r="897" spans="11:15">
      <c r="K897" s="1465">
        <v>42954</v>
      </c>
      <c r="L897" s="1466" t="s">
        <v>2127</v>
      </c>
      <c r="M897" s="1467">
        <v>3.4749000000000002E-2</v>
      </c>
      <c r="N897" s="1468">
        <v>1.3538709939016895</v>
      </c>
      <c r="O897" s="1468">
        <v>1.3739424708764687</v>
      </c>
    </row>
    <row r="898" spans="11:15">
      <c r="K898" s="1465">
        <v>42955</v>
      </c>
      <c r="L898" s="1466" t="s">
        <v>2127</v>
      </c>
      <c r="M898" s="1467">
        <v>3.4749000000000002E-2</v>
      </c>
      <c r="N898" s="1468">
        <v>1.3543414505333604</v>
      </c>
      <c r="O898" s="1468">
        <v>1.3746642165958449</v>
      </c>
    </row>
    <row r="899" spans="11:15">
      <c r="K899" s="1465">
        <v>42956</v>
      </c>
      <c r="L899" s="1466" t="s">
        <v>2127</v>
      </c>
      <c r="M899" s="1467">
        <v>3.4749000000000002E-2</v>
      </c>
      <c r="N899" s="1468">
        <v>1.3548120706440063</v>
      </c>
      <c r="O899" s="1468">
        <v>1.3753863414554648</v>
      </c>
    </row>
    <row r="900" spans="11:15">
      <c r="K900" s="1465">
        <v>42957</v>
      </c>
      <c r="L900" s="1466" t="s">
        <v>2127</v>
      </c>
      <c r="M900" s="1467">
        <v>3.4749000000000002E-2</v>
      </c>
      <c r="N900" s="1468">
        <v>1.3552828542904345</v>
      </c>
      <c r="O900" s="1468">
        <v>1.3761088456544948</v>
      </c>
    </row>
    <row r="901" spans="11:15">
      <c r="K901" s="1465">
        <v>42958</v>
      </c>
      <c r="L901" s="1466" t="s">
        <v>2127</v>
      </c>
      <c r="M901" s="1467">
        <v>3.4749000000000002E-2</v>
      </c>
      <c r="N901" s="1468">
        <v>1.3557538015294719</v>
      </c>
      <c r="O901" s="1468">
        <v>1.3768317293922054</v>
      </c>
    </row>
    <row r="902" spans="11:15">
      <c r="K902" s="1465">
        <v>42959</v>
      </c>
      <c r="L902" s="1466"/>
      <c r="M902" s="1467">
        <v>0</v>
      </c>
      <c r="N902" s="1468">
        <v>1.3557538015294719</v>
      </c>
      <c r="O902" s="1468">
        <v>1.3768317293922054</v>
      </c>
    </row>
    <row r="903" spans="11:15">
      <c r="K903" s="1465">
        <v>42960</v>
      </c>
      <c r="L903" s="1466"/>
      <c r="M903" s="1467">
        <v>0</v>
      </c>
      <c r="N903" s="1468">
        <v>1.3557538015294719</v>
      </c>
      <c r="O903" s="1468">
        <v>1.3768317293922054</v>
      </c>
    </row>
    <row r="904" spans="11:15">
      <c r="K904" s="1465">
        <v>42961</v>
      </c>
      <c r="L904" s="1466" t="s">
        <v>2127</v>
      </c>
      <c r="M904" s="1467">
        <v>3.4749000000000002E-2</v>
      </c>
      <c r="N904" s="1468">
        <v>1.3562249124179653</v>
      </c>
      <c r="O904" s="1468">
        <v>1.3775549928679724</v>
      </c>
    </row>
    <row r="905" spans="11:15">
      <c r="K905" s="1465">
        <v>42962</v>
      </c>
      <c r="L905" s="1466" t="s">
        <v>2127</v>
      </c>
      <c r="M905" s="1467">
        <v>3.4749000000000002E-2</v>
      </c>
      <c r="N905" s="1468">
        <v>1.3566961870127814</v>
      </c>
      <c r="O905" s="1468">
        <v>1.378278636281276</v>
      </c>
    </row>
    <row r="906" spans="11:15">
      <c r="K906" s="1465">
        <v>42963</v>
      </c>
      <c r="L906" s="1466" t="s">
        <v>2127</v>
      </c>
      <c r="M906" s="1467">
        <v>3.4749000000000002E-2</v>
      </c>
      <c r="N906" s="1468">
        <v>1.3571676253708065</v>
      </c>
      <c r="O906" s="1468">
        <v>1.3790026598317009</v>
      </c>
    </row>
    <row r="907" spans="11:15">
      <c r="K907" s="1465">
        <v>42964</v>
      </c>
      <c r="L907" s="1466" t="s">
        <v>2127</v>
      </c>
      <c r="M907" s="1467">
        <v>3.4749000000000002E-2</v>
      </c>
      <c r="N907" s="1468">
        <v>1.3576392275489466</v>
      </c>
      <c r="O907" s="1468">
        <v>1.3797270637189372</v>
      </c>
    </row>
    <row r="908" spans="11:15">
      <c r="K908" s="1465">
        <v>42965</v>
      </c>
      <c r="L908" s="1466" t="s">
        <v>2127</v>
      </c>
      <c r="M908" s="1467">
        <v>3.4749000000000002E-2</v>
      </c>
      <c r="N908" s="1468">
        <v>1.3581109936041276</v>
      </c>
      <c r="O908" s="1468">
        <v>1.3804518481427794</v>
      </c>
    </row>
    <row r="909" spans="11:15">
      <c r="K909" s="1465">
        <v>42966</v>
      </c>
      <c r="L909" s="1466"/>
      <c r="M909" s="1467">
        <v>0</v>
      </c>
      <c r="N909" s="1468">
        <v>1.3581109936041276</v>
      </c>
      <c r="O909" s="1468">
        <v>1.3804518481427794</v>
      </c>
    </row>
    <row r="910" spans="11:15">
      <c r="K910" s="1465">
        <v>42967</v>
      </c>
      <c r="L910" s="1466"/>
      <c r="M910" s="1467">
        <v>0</v>
      </c>
      <c r="N910" s="1468">
        <v>1.3581109936041276</v>
      </c>
      <c r="O910" s="1468">
        <v>1.3804518481427794</v>
      </c>
    </row>
    <row r="911" spans="11:15">
      <c r="K911" s="1465">
        <v>42968</v>
      </c>
      <c r="L911" s="1466" t="s">
        <v>2127</v>
      </c>
      <c r="M911" s="1467">
        <v>3.4749000000000002E-2</v>
      </c>
      <c r="N911" s="1468">
        <v>1.3585829235932951</v>
      </c>
      <c r="O911" s="1468">
        <v>1.3811770133031274</v>
      </c>
    </row>
    <row r="912" spans="11:15">
      <c r="K912" s="1465">
        <v>42969</v>
      </c>
      <c r="L912" s="1466" t="s">
        <v>2127</v>
      </c>
      <c r="M912" s="1467">
        <v>3.4749000000000002E-2</v>
      </c>
      <c r="N912" s="1468">
        <v>1.3590550175734146</v>
      </c>
      <c r="O912" s="1468">
        <v>1.3819025593999856</v>
      </c>
    </row>
    <row r="913" spans="11:15">
      <c r="K913" s="1465">
        <v>42970</v>
      </c>
      <c r="L913" s="1466" t="s">
        <v>2127</v>
      </c>
      <c r="M913" s="1467">
        <v>3.4749000000000002E-2</v>
      </c>
      <c r="N913" s="1468">
        <v>1.3595272756014711</v>
      </c>
      <c r="O913" s="1468">
        <v>1.3826284866334639</v>
      </c>
    </row>
    <row r="914" spans="11:15">
      <c r="K914" s="1465">
        <v>42971</v>
      </c>
      <c r="L914" s="1466" t="s">
        <v>2127</v>
      </c>
      <c r="M914" s="1467">
        <v>3.4749000000000002E-2</v>
      </c>
      <c r="N914" s="1468">
        <v>1.3599996977344699</v>
      </c>
      <c r="O914" s="1468">
        <v>1.3833547952037775</v>
      </c>
    </row>
    <row r="915" spans="11:15">
      <c r="K915" s="1465">
        <v>42972</v>
      </c>
      <c r="L915" s="1466" t="s">
        <v>2127</v>
      </c>
      <c r="M915" s="1467">
        <v>3.4749000000000002E-2</v>
      </c>
      <c r="N915" s="1468">
        <v>1.3604722840294357</v>
      </c>
      <c r="O915" s="1468">
        <v>1.384081485311246</v>
      </c>
    </row>
    <row r="916" spans="11:15">
      <c r="K916" s="1465">
        <v>42973</v>
      </c>
      <c r="L916" s="1466"/>
      <c r="M916" s="1467">
        <v>0</v>
      </c>
      <c r="N916" s="1468">
        <v>1.3604722840294357</v>
      </c>
      <c r="O916" s="1468">
        <v>1.384081485311246</v>
      </c>
    </row>
    <row r="917" spans="11:15">
      <c r="K917" s="1465">
        <v>42974</v>
      </c>
      <c r="L917" s="1466"/>
      <c r="M917" s="1467">
        <v>0</v>
      </c>
      <c r="N917" s="1468">
        <v>1.3604722840294357</v>
      </c>
      <c r="O917" s="1468">
        <v>1.384081485311246</v>
      </c>
    </row>
    <row r="918" spans="11:15">
      <c r="K918" s="1465">
        <v>42975</v>
      </c>
      <c r="L918" s="1466" t="s">
        <v>2127</v>
      </c>
      <c r="M918" s="1467">
        <v>3.4749000000000002E-2</v>
      </c>
      <c r="N918" s="1468">
        <v>1.3609450345434131</v>
      </c>
      <c r="O918" s="1468">
        <v>1.3848085571562949</v>
      </c>
    </row>
    <row r="919" spans="11:15">
      <c r="K919" s="1465">
        <v>42976</v>
      </c>
      <c r="L919" s="1466" t="s">
        <v>2127</v>
      </c>
      <c r="M919" s="1467">
        <v>3.4749000000000002E-2</v>
      </c>
      <c r="N919" s="1468">
        <v>1.3614179493334666</v>
      </c>
      <c r="O919" s="1468">
        <v>1.3855360109394548</v>
      </c>
    </row>
    <row r="920" spans="11:15">
      <c r="K920" s="1465">
        <v>42977</v>
      </c>
      <c r="L920" s="1466" t="s">
        <v>2127</v>
      </c>
      <c r="M920" s="1467">
        <v>3.4749000000000002E-2</v>
      </c>
      <c r="N920" s="1468">
        <v>1.3618910284566805</v>
      </c>
      <c r="O920" s="1468">
        <v>1.3862638468613613</v>
      </c>
    </row>
    <row r="921" spans="11:15">
      <c r="K921" s="1465">
        <v>42978</v>
      </c>
      <c r="L921" s="1466" t="s">
        <v>2127</v>
      </c>
      <c r="M921" s="1467">
        <v>3.4749000000000002E-2</v>
      </c>
      <c r="N921" s="1468">
        <v>1.362364271970159</v>
      </c>
      <c r="O921" s="1468">
        <v>1.3869920651227561</v>
      </c>
    </row>
    <row r="922" spans="11:15">
      <c r="K922" s="1465">
        <v>42979</v>
      </c>
      <c r="L922" s="1466" t="s">
        <v>2127</v>
      </c>
      <c r="M922" s="1467">
        <v>3.4749000000000002E-2</v>
      </c>
      <c r="N922" s="1468">
        <v>1.3628376799310258</v>
      </c>
      <c r="O922" s="1468">
        <v>1.3877206659244856</v>
      </c>
    </row>
    <row r="923" spans="11:15">
      <c r="K923" s="1465">
        <v>42980</v>
      </c>
      <c r="L923" s="1466"/>
      <c r="M923" s="1467">
        <v>0</v>
      </c>
      <c r="N923" s="1468">
        <v>1.3628376799310258</v>
      </c>
      <c r="O923" s="1468">
        <v>1.3877206659244856</v>
      </c>
    </row>
    <row r="924" spans="11:15">
      <c r="K924" s="1465">
        <v>42981</v>
      </c>
      <c r="L924" s="1466"/>
      <c r="M924" s="1467">
        <v>0</v>
      </c>
      <c r="N924" s="1468">
        <v>1.3628376799310258</v>
      </c>
      <c r="O924" s="1468">
        <v>1.3877206659244856</v>
      </c>
    </row>
    <row r="925" spans="11:15">
      <c r="K925" s="1465">
        <v>42982</v>
      </c>
      <c r="L925" s="1466" t="s">
        <v>2127</v>
      </c>
      <c r="M925" s="1467">
        <v>3.4749000000000002E-2</v>
      </c>
      <c r="N925" s="1468">
        <v>1.363311252396425</v>
      </c>
      <c r="O925" s="1468">
        <v>1.3884496494675025</v>
      </c>
    </row>
    <row r="926" spans="11:15">
      <c r="K926" s="1465">
        <v>42983</v>
      </c>
      <c r="L926" s="1466" t="s">
        <v>2127</v>
      </c>
      <c r="M926" s="1467">
        <v>3.4749000000000002E-2</v>
      </c>
      <c r="N926" s="1468">
        <v>1.3637849894235203</v>
      </c>
      <c r="O926" s="1468">
        <v>1.3891790159528643</v>
      </c>
    </row>
    <row r="927" spans="11:15">
      <c r="K927" s="1465">
        <v>42984</v>
      </c>
      <c r="L927" s="1466" t="s">
        <v>2127</v>
      </c>
      <c r="M927" s="1467">
        <v>3.4749000000000002E-2</v>
      </c>
      <c r="N927" s="1468">
        <v>1.364258891069495</v>
      </c>
      <c r="O927" s="1468">
        <v>1.3899087655817346</v>
      </c>
    </row>
    <row r="928" spans="11:15">
      <c r="K928" s="1465">
        <v>42985</v>
      </c>
      <c r="L928" s="1466"/>
      <c r="M928" s="1467">
        <v>0</v>
      </c>
      <c r="N928" s="1468">
        <v>1.364258891069495</v>
      </c>
      <c r="O928" s="1468">
        <v>1.3899087655817346</v>
      </c>
    </row>
    <row r="929" spans="11:15">
      <c r="K929" s="1465">
        <v>42986</v>
      </c>
      <c r="L929" s="1466" t="s">
        <v>2127</v>
      </c>
      <c r="M929" s="1467">
        <v>3.1095999999999999E-2</v>
      </c>
      <c r="N929" s="1468">
        <v>1.364683121014262</v>
      </c>
      <c r="O929" s="1468">
        <v>1.3906388985553824</v>
      </c>
    </row>
    <row r="930" spans="11:15">
      <c r="K930" s="1465">
        <v>42987</v>
      </c>
      <c r="L930" s="1466"/>
      <c r="M930" s="1467">
        <v>0</v>
      </c>
      <c r="N930" s="1468">
        <v>1.364683121014262</v>
      </c>
      <c r="O930" s="1468">
        <v>1.3906388985553824</v>
      </c>
    </row>
    <row r="931" spans="11:15">
      <c r="K931" s="1465">
        <v>42988</v>
      </c>
      <c r="L931" s="1466"/>
      <c r="M931" s="1467">
        <v>0</v>
      </c>
      <c r="N931" s="1468">
        <v>1.364683121014262</v>
      </c>
      <c r="O931" s="1468">
        <v>1.3906388985553824</v>
      </c>
    </row>
    <row r="932" spans="11:15">
      <c r="K932" s="1465">
        <v>42989</v>
      </c>
      <c r="L932" s="1466" t="s">
        <v>2127</v>
      </c>
      <c r="M932" s="1467">
        <v>3.1095999999999999E-2</v>
      </c>
      <c r="N932" s="1468">
        <v>1.3651074828775727</v>
      </c>
      <c r="O932" s="1468">
        <v>1.3913694150751825</v>
      </c>
    </row>
    <row r="933" spans="11:15">
      <c r="K933" s="1465">
        <v>42990</v>
      </c>
      <c r="L933" s="1466" t="s">
        <v>2127</v>
      </c>
      <c r="M933" s="1467">
        <v>3.1095999999999999E-2</v>
      </c>
      <c r="N933" s="1468">
        <v>1.3655319767004481</v>
      </c>
      <c r="O933" s="1468">
        <v>1.3921003153426157</v>
      </c>
    </row>
    <row r="934" spans="11:15">
      <c r="K934" s="1465">
        <v>42991</v>
      </c>
      <c r="L934" s="1466" t="s">
        <v>2127</v>
      </c>
      <c r="M934" s="1467">
        <v>3.1095999999999999E-2</v>
      </c>
      <c r="N934" s="1468">
        <v>1.3659566025239229</v>
      </c>
      <c r="O934" s="1468">
        <v>1.3928315995592684</v>
      </c>
    </row>
    <row r="935" spans="11:15">
      <c r="K935" s="1465">
        <v>42992</v>
      </c>
      <c r="L935" s="1466" t="s">
        <v>2127</v>
      </c>
      <c r="M935" s="1467">
        <v>3.1095999999999999E-2</v>
      </c>
      <c r="N935" s="1468">
        <v>1.3663813603890438</v>
      </c>
      <c r="O935" s="1468">
        <v>1.3935632679268328</v>
      </c>
    </row>
    <row r="936" spans="11:15">
      <c r="K936" s="1465">
        <v>42993</v>
      </c>
      <c r="L936" s="1466" t="s">
        <v>2127</v>
      </c>
      <c r="M936" s="1467">
        <v>3.1095999999999999E-2</v>
      </c>
      <c r="N936" s="1468">
        <v>1.3668062503368703</v>
      </c>
      <c r="O936" s="1468">
        <v>1.3942953206471074</v>
      </c>
    </row>
    <row r="937" spans="11:15">
      <c r="K937" s="1465">
        <v>42994</v>
      </c>
      <c r="L937" s="1466"/>
      <c r="M937" s="1467">
        <v>0</v>
      </c>
      <c r="N937" s="1468">
        <v>1.3668062503368703</v>
      </c>
      <c r="O937" s="1468">
        <v>1.3942953206471074</v>
      </c>
    </row>
    <row r="938" spans="11:15">
      <c r="K938" s="1465">
        <v>42995</v>
      </c>
      <c r="L938" s="1466"/>
      <c r="M938" s="1467">
        <v>0</v>
      </c>
      <c r="N938" s="1468">
        <v>1.3668062503368703</v>
      </c>
      <c r="O938" s="1468">
        <v>1.3942953206471074</v>
      </c>
    </row>
    <row r="939" spans="11:15">
      <c r="K939" s="1465">
        <v>42996</v>
      </c>
      <c r="L939" s="1466" t="s">
        <v>2127</v>
      </c>
      <c r="M939" s="1467">
        <v>3.1095999999999999E-2</v>
      </c>
      <c r="N939" s="1468">
        <v>1.367231272408475</v>
      </c>
      <c r="O939" s="1468">
        <v>1.3950277579219965</v>
      </c>
    </row>
    <row r="940" spans="11:15">
      <c r="K940" s="1465">
        <v>42997</v>
      </c>
      <c r="L940" s="1466" t="s">
        <v>2127</v>
      </c>
      <c r="M940" s="1467">
        <v>3.1095999999999999E-2</v>
      </c>
      <c r="N940" s="1468">
        <v>1.3676564266449431</v>
      </c>
      <c r="O940" s="1468">
        <v>1.3957605799535104</v>
      </c>
    </row>
    <row r="941" spans="11:15">
      <c r="K941" s="1465">
        <v>42998</v>
      </c>
      <c r="L941" s="1466" t="s">
        <v>2127</v>
      </c>
      <c r="M941" s="1467">
        <v>3.1095999999999999E-2</v>
      </c>
      <c r="N941" s="1468">
        <v>1.3680817130873726</v>
      </c>
      <c r="O941" s="1468">
        <v>1.3964937869437659</v>
      </c>
    </row>
    <row r="942" spans="11:15">
      <c r="K942" s="1465">
        <v>42999</v>
      </c>
      <c r="L942" s="1466" t="s">
        <v>2127</v>
      </c>
      <c r="M942" s="1467">
        <v>3.1095999999999999E-2</v>
      </c>
      <c r="N942" s="1468">
        <v>1.3685071317768742</v>
      </c>
      <c r="O942" s="1468">
        <v>1.3972273790949854</v>
      </c>
    </row>
    <row r="943" spans="11:15">
      <c r="K943" s="1465">
        <v>43000</v>
      </c>
      <c r="L943" s="1466" t="s">
        <v>2127</v>
      </c>
      <c r="M943" s="1467">
        <v>3.1095999999999999E-2</v>
      </c>
      <c r="N943" s="1468">
        <v>1.3689326827545716</v>
      </c>
      <c r="O943" s="1468">
        <v>1.3979613566094977</v>
      </c>
    </row>
    <row r="944" spans="11:15">
      <c r="K944" s="1465">
        <v>43001</v>
      </c>
      <c r="L944" s="1466"/>
      <c r="M944" s="1467">
        <v>0</v>
      </c>
      <c r="N944" s="1468">
        <v>1.3689326827545716</v>
      </c>
      <c r="O944" s="1468">
        <v>1.3979613566094977</v>
      </c>
    </row>
    <row r="945" spans="11:15">
      <c r="K945" s="1465">
        <v>43002</v>
      </c>
      <c r="L945" s="1466"/>
      <c r="M945" s="1467">
        <v>0</v>
      </c>
      <c r="N945" s="1468">
        <v>1.3689326827545716</v>
      </c>
      <c r="O945" s="1468">
        <v>1.3979613566094977</v>
      </c>
    </row>
    <row r="946" spans="11:15">
      <c r="K946" s="1465">
        <v>43003</v>
      </c>
      <c r="L946" s="1466" t="s">
        <v>2127</v>
      </c>
      <c r="M946" s="1467">
        <v>3.1095999999999999E-2</v>
      </c>
      <c r="N946" s="1468">
        <v>1.3693583660616009</v>
      </c>
      <c r="O946" s="1468">
        <v>1.3986957196897383</v>
      </c>
    </row>
    <row r="947" spans="11:15">
      <c r="K947" s="1465">
        <v>43004</v>
      </c>
      <c r="L947" s="1466" t="s">
        <v>2127</v>
      </c>
      <c r="M947" s="1467">
        <v>3.1095999999999999E-2</v>
      </c>
      <c r="N947" s="1468">
        <v>1.3697841817391114</v>
      </c>
      <c r="O947" s="1468">
        <v>1.3994304685382486</v>
      </c>
    </row>
    <row r="948" spans="11:15">
      <c r="K948" s="1465">
        <v>43005</v>
      </c>
      <c r="L948" s="1466" t="s">
        <v>2127</v>
      </c>
      <c r="M948" s="1467">
        <v>3.1095999999999999E-2</v>
      </c>
      <c r="N948" s="1468">
        <v>1.370210129828265</v>
      </c>
      <c r="O948" s="1468">
        <v>1.4001656033576764</v>
      </c>
    </row>
    <row r="949" spans="11:15">
      <c r="K949" s="1465">
        <v>43006</v>
      </c>
      <c r="L949" s="1466" t="s">
        <v>2127</v>
      </c>
      <c r="M949" s="1467">
        <v>3.1095999999999999E-2</v>
      </c>
      <c r="N949" s="1468">
        <v>1.3706362103702363</v>
      </c>
      <c r="O949" s="1468">
        <v>1.4009011243507763</v>
      </c>
    </row>
    <row r="950" spans="11:15">
      <c r="K950" s="1465">
        <v>43007</v>
      </c>
      <c r="L950" s="1466" t="s">
        <v>2127</v>
      </c>
      <c r="M950" s="1467">
        <v>3.1095999999999999E-2</v>
      </c>
      <c r="N950" s="1468">
        <v>1.371062423406213</v>
      </c>
      <c r="O950" s="1468">
        <v>1.401637031720409</v>
      </c>
    </row>
    <row r="951" spans="11:15">
      <c r="K951" s="1465">
        <v>43008</v>
      </c>
      <c r="L951" s="1466"/>
      <c r="M951" s="1467">
        <v>0</v>
      </c>
      <c r="N951" s="1468">
        <v>1.371062423406213</v>
      </c>
      <c r="O951" s="1468">
        <v>1.401637031720409</v>
      </c>
    </row>
    <row r="952" spans="11:15">
      <c r="K952" s="1465">
        <v>43009</v>
      </c>
      <c r="L952" s="1466"/>
      <c r="M952" s="1467">
        <v>0</v>
      </c>
      <c r="N952" s="1468">
        <v>1.371062423406213</v>
      </c>
      <c r="O952" s="1468">
        <v>1.401637031720409</v>
      </c>
    </row>
    <row r="953" spans="11:15">
      <c r="K953" s="1465">
        <v>43010</v>
      </c>
      <c r="L953" s="1466" t="s">
        <v>2127</v>
      </c>
      <c r="M953" s="1467">
        <v>3.1095999999999999E-2</v>
      </c>
      <c r="N953" s="1468">
        <v>1.3714887689773954</v>
      </c>
      <c r="O953" s="1468">
        <v>1.4023733256695421</v>
      </c>
    </row>
    <row r="954" spans="11:15">
      <c r="K954" s="1465">
        <v>43011</v>
      </c>
      <c r="L954" s="1466" t="s">
        <v>2127</v>
      </c>
      <c r="M954" s="1467">
        <v>3.1095999999999999E-2</v>
      </c>
      <c r="N954" s="1468">
        <v>1.3719152471249965</v>
      </c>
      <c r="O954" s="1468">
        <v>1.4031100064012496</v>
      </c>
    </row>
    <row r="955" spans="11:15">
      <c r="K955" s="1465">
        <v>43012</v>
      </c>
      <c r="L955" s="1466" t="s">
        <v>2127</v>
      </c>
      <c r="M955" s="1467">
        <v>3.1095999999999999E-2</v>
      </c>
      <c r="N955" s="1468">
        <v>1.3723418578902424</v>
      </c>
      <c r="O955" s="1468">
        <v>1.4038470741187123</v>
      </c>
    </row>
    <row r="956" spans="11:15">
      <c r="K956" s="1465">
        <v>43013</v>
      </c>
      <c r="L956" s="1466" t="s">
        <v>2127</v>
      </c>
      <c r="M956" s="1467">
        <v>3.1095999999999999E-2</v>
      </c>
      <c r="N956" s="1468">
        <v>1.3727686013143718</v>
      </c>
      <c r="O956" s="1468">
        <v>1.4045845290252177</v>
      </c>
    </row>
    <row r="957" spans="11:15">
      <c r="K957" s="1465">
        <v>43014</v>
      </c>
      <c r="L957" s="1466" t="s">
        <v>2127</v>
      </c>
      <c r="M957" s="1467">
        <v>3.1095999999999999E-2</v>
      </c>
      <c r="N957" s="1468">
        <v>1.3731954774386366</v>
      </c>
      <c r="O957" s="1468">
        <v>1.4053223713241598</v>
      </c>
    </row>
    <row r="958" spans="11:15">
      <c r="K958" s="1465">
        <v>43015</v>
      </c>
      <c r="L958" s="1466"/>
      <c r="M958" s="1467">
        <v>0</v>
      </c>
      <c r="N958" s="1468">
        <v>1.3731954774386366</v>
      </c>
      <c r="O958" s="1468">
        <v>1.4053223713241598</v>
      </c>
    </row>
    <row r="959" spans="11:15">
      <c r="K959" s="1465">
        <v>43016</v>
      </c>
      <c r="L959" s="1466"/>
      <c r="M959" s="1467">
        <v>0</v>
      </c>
      <c r="N959" s="1468">
        <v>1.3731954774386366</v>
      </c>
      <c r="O959" s="1468">
        <v>1.4053223713241598</v>
      </c>
    </row>
    <row r="960" spans="11:15">
      <c r="K960" s="1465">
        <v>43017</v>
      </c>
      <c r="L960" s="1466" t="s">
        <v>2127</v>
      </c>
      <c r="M960" s="1467">
        <v>3.1095999999999999E-2</v>
      </c>
      <c r="N960" s="1468">
        <v>1.3736224863043009</v>
      </c>
      <c r="O960" s="1468">
        <v>1.4060606012190402</v>
      </c>
    </row>
    <row r="961" spans="11:15">
      <c r="K961" s="1465">
        <v>43018</v>
      </c>
      <c r="L961" s="1466" t="s">
        <v>2127</v>
      </c>
      <c r="M961" s="1467">
        <v>3.1095999999999999E-2</v>
      </c>
      <c r="N961" s="1468">
        <v>1.3740496279526422</v>
      </c>
      <c r="O961" s="1468">
        <v>1.4067992189134666</v>
      </c>
    </row>
    <row r="962" spans="11:15">
      <c r="K962" s="1465">
        <v>43019</v>
      </c>
      <c r="L962" s="1466" t="s">
        <v>2127</v>
      </c>
      <c r="M962" s="1467">
        <v>3.1095999999999999E-2</v>
      </c>
      <c r="N962" s="1468">
        <v>1.3744769024249504</v>
      </c>
      <c r="O962" s="1468">
        <v>1.4075382246111541</v>
      </c>
    </row>
    <row r="963" spans="11:15">
      <c r="K963" s="1465">
        <v>43020</v>
      </c>
      <c r="L963" s="1466"/>
      <c r="M963" s="1467">
        <v>0</v>
      </c>
      <c r="N963" s="1468">
        <v>1.3744769024249504</v>
      </c>
      <c r="O963" s="1468">
        <v>1.4075382246111541</v>
      </c>
    </row>
    <row r="964" spans="11:15">
      <c r="K964" s="1465">
        <v>43021</v>
      </c>
      <c r="L964" s="1466" t="s">
        <v>2127</v>
      </c>
      <c r="M964" s="1467">
        <v>3.1095999999999999E-2</v>
      </c>
      <c r="N964" s="1468">
        <v>1.3749043097625284</v>
      </c>
      <c r="O964" s="1468">
        <v>1.4082776185159245</v>
      </c>
    </row>
    <row r="965" spans="11:15">
      <c r="K965" s="1465">
        <v>43022</v>
      </c>
      <c r="L965" s="1466"/>
      <c r="M965" s="1467">
        <v>0</v>
      </c>
      <c r="N965" s="1468">
        <v>1.3749043097625284</v>
      </c>
      <c r="O965" s="1468">
        <v>1.4082776185159245</v>
      </c>
    </row>
    <row r="966" spans="11:15">
      <c r="K966" s="1465">
        <v>43023</v>
      </c>
      <c r="L966" s="1466"/>
      <c r="M966" s="1467">
        <v>0</v>
      </c>
      <c r="N966" s="1468">
        <v>1.3749043097625284</v>
      </c>
      <c r="O966" s="1468">
        <v>1.4082776185159245</v>
      </c>
    </row>
    <row r="967" spans="11:15">
      <c r="K967" s="1465">
        <v>43024</v>
      </c>
      <c r="L967" s="1466" t="s">
        <v>2127</v>
      </c>
      <c r="M967" s="1467">
        <v>3.1095999999999999E-2</v>
      </c>
      <c r="N967" s="1468">
        <v>1.3753318500066922</v>
      </c>
      <c r="O967" s="1468">
        <v>1.4090174008317071</v>
      </c>
    </row>
    <row r="968" spans="11:15">
      <c r="K968" s="1465">
        <v>43025</v>
      </c>
      <c r="L968" s="1466" t="s">
        <v>2127</v>
      </c>
      <c r="M968" s="1467">
        <v>3.1095999999999999E-2</v>
      </c>
      <c r="N968" s="1468">
        <v>1.3757595231987703</v>
      </c>
      <c r="O968" s="1468">
        <v>1.4097575717625381</v>
      </c>
    </row>
    <row r="969" spans="11:15">
      <c r="K969" s="1465">
        <v>43026</v>
      </c>
      <c r="L969" s="1466" t="s">
        <v>2127</v>
      </c>
      <c r="M969" s="1467">
        <v>3.1095999999999999E-2</v>
      </c>
      <c r="N969" s="1468">
        <v>1.3761873293801041</v>
      </c>
      <c r="O969" s="1468">
        <v>1.4104981315125606</v>
      </c>
    </row>
    <row r="970" spans="11:15">
      <c r="K970" s="1465">
        <v>43027</v>
      </c>
      <c r="L970" s="1466" t="s">
        <v>2127</v>
      </c>
      <c r="M970" s="1467">
        <v>3.1095999999999999E-2</v>
      </c>
      <c r="N970" s="1468">
        <v>1.3766152685920481</v>
      </c>
      <c r="O970" s="1468">
        <v>1.4112390802860255</v>
      </c>
    </row>
    <row r="971" spans="11:15">
      <c r="K971" s="1465">
        <v>43028</v>
      </c>
      <c r="L971" s="1466" t="s">
        <v>2127</v>
      </c>
      <c r="M971" s="1467">
        <v>3.1095999999999999E-2</v>
      </c>
      <c r="N971" s="1468">
        <v>1.3770433408759695</v>
      </c>
      <c r="O971" s="1468">
        <v>1.4119804182872906</v>
      </c>
    </row>
    <row r="972" spans="11:15">
      <c r="K972" s="1465">
        <v>43029</v>
      </c>
      <c r="L972" s="1466"/>
      <c r="M972" s="1467">
        <v>0</v>
      </c>
      <c r="N972" s="1468">
        <v>1.3770433408759695</v>
      </c>
      <c r="O972" s="1468">
        <v>1.4119804182872906</v>
      </c>
    </row>
    <row r="973" spans="11:15">
      <c r="K973" s="1465">
        <v>43030</v>
      </c>
      <c r="L973" s="1466"/>
      <c r="M973" s="1467">
        <v>0</v>
      </c>
      <c r="N973" s="1468">
        <v>1.3770433408759695</v>
      </c>
      <c r="O973" s="1468">
        <v>1.4119804182872906</v>
      </c>
    </row>
    <row r="974" spans="11:15">
      <c r="K974" s="1465">
        <v>43031</v>
      </c>
      <c r="L974" s="1466" t="s">
        <v>2127</v>
      </c>
      <c r="M974" s="1467">
        <v>3.1095999999999999E-2</v>
      </c>
      <c r="N974" s="1468">
        <v>1.3774715462732483</v>
      </c>
      <c r="O974" s="1468">
        <v>1.412722145720821</v>
      </c>
    </row>
    <row r="975" spans="11:15">
      <c r="K975" s="1465">
        <v>43032</v>
      </c>
      <c r="L975" s="1466" t="s">
        <v>2127</v>
      </c>
      <c r="M975" s="1467">
        <v>3.1095999999999999E-2</v>
      </c>
      <c r="N975" s="1468">
        <v>1.3778998848252775</v>
      </c>
      <c r="O975" s="1468">
        <v>1.4134642627911895</v>
      </c>
    </row>
    <row r="976" spans="11:15">
      <c r="K976" s="1465">
        <v>43033</v>
      </c>
      <c r="L976" s="1466" t="s">
        <v>2127</v>
      </c>
      <c r="M976" s="1467">
        <v>3.1095999999999999E-2</v>
      </c>
      <c r="N976" s="1468">
        <v>1.3783283565734628</v>
      </c>
      <c r="O976" s="1468">
        <v>1.4142067697030765</v>
      </c>
    </row>
    <row r="977" spans="11:15">
      <c r="K977" s="1465">
        <v>43034</v>
      </c>
      <c r="L977" s="1466" t="s">
        <v>2127</v>
      </c>
      <c r="M977" s="1467">
        <v>2.8333000000000001E-2</v>
      </c>
      <c r="N977" s="1468">
        <v>1.3787188783467308</v>
      </c>
      <c r="O977" s="1468">
        <v>1.4149496666612691</v>
      </c>
    </row>
    <row r="978" spans="11:15">
      <c r="K978" s="1465">
        <v>43035</v>
      </c>
      <c r="L978" s="1466" t="s">
        <v>2127</v>
      </c>
      <c r="M978" s="1467">
        <v>2.8333000000000001E-2</v>
      </c>
      <c r="N978" s="1468">
        <v>1.3791095107665328</v>
      </c>
      <c r="O978" s="1468">
        <v>1.4156929538706629</v>
      </c>
    </row>
    <row r="979" spans="11:15">
      <c r="K979" s="1465">
        <v>43036</v>
      </c>
      <c r="L979" s="1466"/>
      <c r="M979" s="1467">
        <v>0</v>
      </c>
      <c r="N979" s="1468">
        <v>1.3791095107665328</v>
      </c>
      <c r="O979" s="1468">
        <v>1.4156929538706629</v>
      </c>
    </row>
    <row r="980" spans="11:15">
      <c r="K980" s="1465">
        <v>43037</v>
      </c>
      <c r="L980" s="1466"/>
      <c r="M980" s="1467">
        <v>0</v>
      </c>
      <c r="N980" s="1468">
        <v>1.3791095107665328</v>
      </c>
      <c r="O980" s="1468">
        <v>1.4156929538706629</v>
      </c>
    </row>
    <row r="981" spans="11:15">
      <c r="K981" s="1465">
        <v>43038</v>
      </c>
      <c r="L981" s="1466" t="s">
        <v>2127</v>
      </c>
      <c r="M981" s="1467">
        <v>2.8333000000000001E-2</v>
      </c>
      <c r="N981" s="1468">
        <v>1.3795002538642183</v>
      </c>
      <c r="O981" s="1468">
        <v>1.4164366315362606</v>
      </c>
    </row>
    <row r="982" spans="11:15">
      <c r="K982" s="1465">
        <v>43039</v>
      </c>
      <c r="L982" s="1466" t="s">
        <v>2127</v>
      </c>
      <c r="M982" s="1467">
        <v>2.8333000000000001E-2</v>
      </c>
      <c r="N982" s="1468">
        <v>1.3798911076711458</v>
      </c>
      <c r="O982" s="1468">
        <v>1.4171806998631729</v>
      </c>
    </row>
    <row r="983" spans="11:15">
      <c r="K983" s="1465">
        <v>43040</v>
      </c>
      <c r="L983" s="1466" t="s">
        <v>2127</v>
      </c>
      <c r="M983" s="1467">
        <v>2.8333000000000001E-2</v>
      </c>
      <c r="N983" s="1468">
        <v>1.3802820722186822</v>
      </c>
      <c r="O983" s="1468">
        <v>1.417925159056618</v>
      </c>
    </row>
    <row r="984" spans="11:15">
      <c r="K984" s="1465">
        <v>43041</v>
      </c>
      <c r="L984" s="1466"/>
      <c r="M984" s="1467">
        <v>0</v>
      </c>
      <c r="N984" s="1468">
        <v>1.3802820722186822</v>
      </c>
      <c r="O984" s="1468">
        <v>1.417925159056618</v>
      </c>
    </row>
    <row r="985" spans="11:15">
      <c r="K985" s="1465">
        <v>43042</v>
      </c>
      <c r="L985" s="1466" t="s">
        <v>2127</v>
      </c>
      <c r="M985" s="1467">
        <v>2.8333000000000001E-2</v>
      </c>
      <c r="N985" s="1468">
        <v>1.3806731475382039</v>
      </c>
      <c r="O985" s="1468">
        <v>1.418670009321922</v>
      </c>
    </row>
    <row r="986" spans="11:15">
      <c r="K986" s="1465">
        <v>43043</v>
      </c>
      <c r="L986" s="1466"/>
      <c r="M986" s="1467">
        <v>0</v>
      </c>
      <c r="N986" s="1468">
        <v>1.3806731475382039</v>
      </c>
      <c r="O986" s="1468">
        <v>1.418670009321922</v>
      </c>
    </row>
    <row r="987" spans="11:15">
      <c r="K987" s="1465">
        <v>43044</v>
      </c>
      <c r="L987" s="1466"/>
      <c r="M987" s="1467">
        <v>0</v>
      </c>
      <c r="N987" s="1468">
        <v>1.3806731475382039</v>
      </c>
      <c r="O987" s="1468">
        <v>1.418670009321922</v>
      </c>
    </row>
    <row r="988" spans="11:15">
      <c r="K988" s="1465">
        <v>43045</v>
      </c>
      <c r="L988" s="1466" t="s">
        <v>2127</v>
      </c>
      <c r="M988" s="1467">
        <v>2.8333000000000001E-2</v>
      </c>
      <c r="N988" s="1468">
        <v>1.3810643336610959</v>
      </c>
      <c r="O988" s="1468">
        <v>1.4194152508645188</v>
      </c>
    </row>
    <row r="989" spans="11:15">
      <c r="K989" s="1465">
        <v>43046</v>
      </c>
      <c r="L989" s="1466" t="s">
        <v>2127</v>
      </c>
      <c r="M989" s="1467">
        <v>2.8333000000000001E-2</v>
      </c>
      <c r="N989" s="1468">
        <v>1.3814556306187522</v>
      </c>
      <c r="O989" s="1468">
        <v>1.4201608838899504</v>
      </c>
    </row>
    <row r="990" spans="11:15">
      <c r="K990" s="1465">
        <v>43047</v>
      </c>
      <c r="L990" s="1466" t="s">
        <v>2127</v>
      </c>
      <c r="M990" s="1467">
        <v>2.8333000000000001E-2</v>
      </c>
      <c r="N990" s="1468">
        <v>1.3818470384425754</v>
      </c>
      <c r="O990" s="1468">
        <v>1.4209069086038666</v>
      </c>
    </row>
    <row r="991" spans="11:15">
      <c r="K991" s="1465">
        <v>43048</v>
      </c>
      <c r="L991" s="1466" t="s">
        <v>2127</v>
      </c>
      <c r="M991" s="1467">
        <v>2.8333000000000001E-2</v>
      </c>
      <c r="N991" s="1468">
        <v>1.3822385571639773</v>
      </c>
      <c r="O991" s="1468">
        <v>1.4216533252120254</v>
      </c>
    </row>
    <row r="992" spans="11:15">
      <c r="K992" s="1465">
        <v>43049</v>
      </c>
      <c r="L992" s="1466" t="s">
        <v>2127</v>
      </c>
      <c r="M992" s="1467">
        <v>2.8333000000000001E-2</v>
      </c>
      <c r="N992" s="1468">
        <v>1.3826301868143787</v>
      </c>
      <c r="O992" s="1468">
        <v>1.4224001339202925</v>
      </c>
    </row>
    <row r="993" spans="11:15">
      <c r="K993" s="1465">
        <v>43050</v>
      </c>
      <c r="L993" s="1466"/>
      <c r="M993" s="1467">
        <v>0</v>
      </c>
      <c r="N993" s="1468">
        <v>1.3826301868143787</v>
      </c>
      <c r="O993" s="1468">
        <v>1.4224001339202925</v>
      </c>
    </row>
    <row r="994" spans="11:15">
      <c r="K994" s="1465">
        <v>43051</v>
      </c>
      <c r="L994" s="1466"/>
      <c r="M994" s="1467">
        <v>0</v>
      </c>
      <c r="N994" s="1468">
        <v>1.3826301868143787</v>
      </c>
      <c r="O994" s="1468">
        <v>1.4224001339202925</v>
      </c>
    </row>
    <row r="995" spans="11:15">
      <c r="K995" s="1465">
        <v>43052</v>
      </c>
      <c r="L995" s="1466" t="s">
        <v>2127</v>
      </c>
      <c r="M995" s="1467">
        <v>2.8333000000000001E-2</v>
      </c>
      <c r="N995" s="1468">
        <v>1.3830219274252089</v>
      </c>
      <c r="O995" s="1468">
        <v>1.4231473349346422</v>
      </c>
    </row>
    <row r="996" spans="11:15">
      <c r="K996" s="1465">
        <v>43053</v>
      </c>
      <c r="L996" s="1466" t="s">
        <v>2127</v>
      </c>
      <c r="M996" s="1467">
        <v>2.8333000000000001E-2</v>
      </c>
      <c r="N996" s="1468">
        <v>1.3834137790279064</v>
      </c>
      <c r="O996" s="1468">
        <v>1.4238949284611566</v>
      </c>
    </row>
    <row r="997" spans="11:15">
      <c r="K997" s="1465">
        <v>43054</v>
      </c>
      <c r="L997" s="1466"/>
      <c r="M997" s="1467">
        <v>0</v>
      </c>
      <c r="N997" s="1468">
        <v>1.3834137790279064</v>
      </c>
      <c r="O997" s="1468">
        <v>1.4238949284611566</v>
      </c>
    </row>
    <row r="998" spans="11:15">
      <c r="K998" s="1465">
        <v>43055</v>
      </c>
      <c r="L998" s="1466" t="s">
        <v>2127</v>
      </c>
      <c r="M998" s="1467">
        <v>2.8333000000000001E-2</v>
      </c>
      <c r="N998" s="1468">
        <v>1.3838057416539185</v>
      </c>
      <c r="O998" s="1468">
        <v>1.4246429147060264</v>
      </c>
    </row>
    <row r="999" spans="11:15">
      <c r="K999" s="1465">
        <v>43056</v>
      </c>
      <c r="L999" s="1466" t="s">
        <v>2127</v>
      </c>
      <c r="M999" s="1467">
        <v>2.8333000000000001E-2</v>
      </c>
      <c r="N999" s="1468">
        <v>1.3841978153347012</v>
      </c>
      <c r="O999" s="1468">
        <v>1.4253912938755506</v>
      </c>
    </row>
    <row r="1000" spans="11:15">
      <c r="K1000" s="1465">
        <v>43057</v>
      </c>
      <c r="L1000" s="1466"/>
      <c r="M1000" s="1467">
        <v>0</v>
      </c>
      <c r="N1000" s="1468">
        <v>1.3841978153347012</v>
      </c>
      <c r="O1000" s="1468">
        <v>1.4253912938755506</v>
      </c>
    </row>
    <row r="1001" spans="11:15">
      <c r="K1001" s="1465">
        <v>43058</v>
      </c>
      <c r="L1001" s="1466"/>
      <c r="M1001" s="1467">
        <v>0</v>
      </c>
      <c r="N1001" s="1468">
        <v>1.3841978153347012</v>
      </c>
      <c r="O1001" s="1468">
        <v>1.4253912938755506</v>
      </c>
    </row>
    <row r="1002" spans="11:15">
      <c r="K1002" s="1465">
        <v>43059</v>
      </c>
      <c r="L1002" s="1466" t="s">
        <v>2127</v>
      </c>
      <c r="M1002" s="1467">
        <v>2.8333000000000001E-2</v>
      </c>
      <c r="N1002" s="1468">
        <v>1.38459000010172</v>
      </c>
      <c r="O1002" s="1468">
        <v>1.4261400661761363</v>
      </c>
    </row>
    <row r="1003" spans="11:15">
      <c r="K1003" s="1465">
        <v>43060</v>
      </c>
      <c r="L1003" s="1466" t="s">
        <v>2127</v>
      </c>
      <c r="M1003" s="1467">
        <v>2.8333000000000001E-2</v>
      </c>
      <c r="N1003" s="1468">
        <v>1.3849822959864488</v>
      </c>
      <c r="O1003" s="1468">
        <v>1.4268892318142994</v>
      </c>
    </row>
    <row r="1004" spans="11:15">
      <c r="K1004" s="1465">
        <v>43061</v>
      </c>
      <c r="L1004" s="1466" t="s">
        <v>2127</v>
      </c>
      <c r="M1004" s="1467">
        <v>2.8333000000000001E-2</v>
      </c>
      <c r="N1004" s="1468">
        <v>1.3853747030203707</v>
      </c>
      <c r="O1004" s="1468">
        <v>1.4276387909966637</v>
      </c>
    </row>
    <row r="1005" spans="11:15">
      <c r="K1005" s="1465">
        <v>43062</v>
      </c>
      <c r="L1005" s="1466" t="s">
        <v>2127</v>
      </c>
      <c r="M1005" s="1467">
        <v>2.8333000000000001E-2</v>
      </c>
      <c r="N1005" s="1468">
        <v>1.3857672212349774</v>
      </c>
      <c r="O1005" s="1468">
        <v>1.4283887439299621</v>
      </c>
    </row>
    <row r="1006" spans="11:15">
      <c r="K1006" s="1465">
        <v>43063</v>
      </c>
      <c r="L1006" s="1466" t="s">
        <v>2127</v>
      </c>
      <c r="M1006" s="1467">
        <v>2.8333000000000001E-2</v>
      </c>
      <c r="N1006" s="1468">
        <v>1.3861598506617701</v>
      </c>
      <c r="O1006" s="1468">
        <v>1.429139090821036</v>
      </c>
    </row>
    <row r="1007" spans="11:15">
      <c r="K1007" s="1465">
        <v>43064</v>
      </c>
      <c r="L1007" s="1466"/>
      <c r="M1007" s="1467">
        <v>0</v>
      </c>
      <c r="N1007" s="1468">
        <v>1.3861598506617701</v>
      </c>
      <c r="O1007" s="1468">
        <v>1.429139090821036</v>
      </c>
    </row>
    <row r="1008" spans="11:15">
      <c r="K1008" s="1465">
        <v>43065</v>
      </c>
      <c r="L1008" s="1466"/>
      <c r="M1008" s="1467">
        <v>0</v>
      </c>
      <c r="N1008" s="1468">
        <v>1.3861598506617701</v>
      </c>
      <c r="O1008" s="1468">
        <v>1.429139090821036</v>
      </c>
    </row>
    <row r="1009" spans="11:15">
      <c r="K1009" s="1465">
        <v>43066</v>
      </c>
      <c r="L1009" s="1466" t="s">
        <v>2127</v>
      </c>
      <c r="M1009" s="1467">
        <v>2.8333000000000001E-2</v>
      </c>
      <c r="N1009" s="1468">
        <v>1.3865525913322581</v>
      </c>
      <c r="O1009" s="1468">
        <v>1.4298898318768352</v>
      </c>
    </row>
    <row r="1010" spans="11:15">
      <c r="K1010" s="1465">
        <v>43067</v>
      </c>
      <c r="L1010" s="1466" t="s">
        <v>2127</v>
      </c>
      <c r="M1010" s="1467">
        <v>2.8333000000000001E-2</v>
      </c>
      <c r="N1010" s="1468">
        <v>1.3869454432779602</v>
      </c>
      <c r="O1010" s="1468">
        <v>1.4306409673044185</v>
      </c>
    </row>
    <row r="1011" spans="11:15">
      <c r="K1011" s="1465">
        <v>43068</v>
      </c>
      <c r="L1011" s="1466" t="s">
        <v>2127</v>
      </c>
      <c r="M1011" s="1467">
        <v>2.8333000000000001E-2</v>
      </c>
      <c r="N1011" s="1468">
        <v>1.3873384065304042</v>
      </c>
      <c r="O1011" s="1468">
        <v>1.4313924973109531</v>
      </c>
    </row>
    <row r="1012" spans="11:15">
      <c r="K1012" s="1465">
        <v>43069</v>
      </c>
      <c r="L1012" s="1466" t="s">
        <v>2127</v>
      </c>
      <c r="M1012" s="1467">
        <v>2.8333000000000001E-2</v>
      </c>
      <c r="N1012" s="1468">
        <v>1.3877314811211265</v>
      </c>
      <c r="O1012" s="1468">
        <v>1.4321444221037154</v>
      </c>
    </row>
    <row r="1013" spans="11:15">
      <c r="K1013" s="1465">
        <v>43070</v>
      </c>
      <c r="L1013" s="1466" t="s">
        <v>2127</v>
      </c>
      <c r="M1013" s="1467">
        <v>2.8333000000000001E-2</v>
      </c>
      <c r="N1013" s="1468">
        <v>1.3881246670816727</v>
      </c>
      <c r="O1013" s="1468">
        <v>1.4328967418900906</v>
      </c>
    </row>
    <row r="1014" spans="11:15">
      <c r="K1014" s="1465">
        <v>43071</v>
      </c>
      <c r="L1014" s="1466"/>
      <c r="M1014" s="1467">
        <v>0</v>
      </c>
      <c r="N1014" s="1468">
        <v>1.3881246670816727</v>
      </c>
      <c r="O1014" s="1468">
        <v>1.4328967418900906</v>
      </c>
    </row>
    <row r="1015" spans="11:15">
      <c r="K1015" s="1465">
        <v>43072</v>
      </c>
      <c r="L1015" s="1466"/>
      <c r="M1015" s="1467">
        <v>0</v>
      </c>
      <c r="N1015" s="1468">
        <v>1.3881246670816727</v>
      </c>
      <c r="O1015" s="1468">
        <v>1.4328967418900906</v>
      </c>
    </row>
    <row r="1016" spans="11:15">
      <c r="K1016" s="1465">
        <v>43073</v>
      </c>
      <c r="L1016" s="1466" t="s">
        <v>2127</v>
      </c>
      <c r="M1016" s="1467">
        <v>2.8333000000000001E-2</v>
      </c>
      <c r="N1016" s="1468">
        <v>1.388517964443597</v>
      </c>
      <c r="O1016" s="1468">
        <v>1.4336494568775728</v>
      </c>
    </row>
    <row r="1017" spans="11:15">
      <c r="K1017" s="1465">
        <v>43074</v>
      </c>
      <c r="L1017" s="1466" t="s">
        <v>2127</v>
      </c>
      <c r="M1017" s="1467">
        <v>2.8333000000000001E-2</v>
      </c>
      <c r="N1017" s="1468">
        <v>1.3889113732384628</v>
      </c>
      <c r="O1017" s="1468">
        <v>1.4344025672737652</v>
      </c>
    </row>
    <row r="1018" spans="11:15">
      <c r="K1018" s="1465">
        <v>43075</v>
      </c>
      <c r="L1018" s="1466" t="s">
        <v>2127</v>
      </c>
      <c r="M1018" s="1467">
        <v>2.8333000000000001E-2</v>
      </c>
      <c r="N1018" s="1468">
        <v>1.3893048934978425</v>
      </c>
      <c r="O1018" s="1468">
        <v>1.4351560732863797</v>
      </c>
    </row>
    <row r="1019" spans="11:15">
      <c r="K1019" s="1465">
        <v>43076</v>
      </c>
      <c r="L1019" s="1466" t="s">
        <v>2127</v>
      </c>
      <c r="M1019" s="1467">
        <v>2.6481000000000001E-2</v>
      </c>
      <c r="N1019" s="1468">
        <v>1.3896727953266896</v>
      </c>
      <c r="O1019" s="1468">
        <v>1.4359099751232378</v>
      </c>
    </row>
    <row r="1020" spans="11:15">
      <c r="K1020" s="1465">
        <v>43077</v>
      </c>
      <c r="L1020" s="1466" t="s">
        <v>2127</v>
      </c>
      <c r="M1020" s="1467">
        <v>2.6481000000000001E-2</v>
      </c>
      <c r="N1020" s="1468">
        <v>1.39004079457962</v>
      </c>
      <c r="O1020" s="1468">
        <v>1.4366642729922698</v>
      </c>
    </row>
    <row r="1021" spans="11:15">
      <c r="K1021" s="1465">
        <v>43078</v>
      </c>
      <c r="L1021" s="1466"/>
      <c r="M1021" s="1467">
        <v>0</v>
      </c>
      <c r="N1021" s="1468">
        <v>1.39004079457962</v>
      </c>
      <c r="O1021" s="1468">
        <v>1.4366642729922698</v>
      </c>
    </row>
    <row r="1022" spans="11:15">
      <c r="K1022" s="1465">
        <v>43079</v>
      </c>
      <c r="L1022" s="1466"/>
      <c r="M1022" s="1467">
        <v>0</v>
      </c>
      <c r="N1022" s="1468">
        <v>1.39004079457962</v>
      </c>
      <c r="O1022" s="1468">
        <v>1.4366642729922698</v>
      </c>
    </row>
    <row r="1023" spans="11:15">
      <c r="K1023" s="1465">
        <v>43080</v>
      </c>
      <c r="L1023" s="1466" t="s">
        <v>2127</v>
      </c>
      <c r="M1023" s="1467">
        <v>2.6481000000000001E-2</v>
      </c>
      <c r="N1023" s="1468">
        <v>1.3904088912824326</v>
      </c>
      <c r="O1023" s="1468">
        <v>1.4374189671015154</v>
      </c>
    </row>
    <row r="1024" spans="11:15">
      <c r="K1024" s="1465">
        <v>43081</v>
      </c>
      <c r="L1024" s="1466" t="s">
        <v>2127</v>
      </c>
      <c r="M1024" s="1467">
        <v>2.6481000000000001E-2</v>
      </c>
      <c r="N1024" s="1468">
        <v>1.3907770854609331</v>
      </c>
      <c r="O1024" s="1468">
        <v>1.4381740576591235</v>
      </c>
    </row>
    <row r="1025" spans="11:15">
      <c r="K1025" s="1465">
        <v>43082</v>
      </c>
      <c r="L1025" s="1466" t="s">
        <v>2127</v>
      </c>
      <c r="M1025" s="1467">
        <v>2.6481000000000001E-2</v>
      </c>
      <c r="N1025" s="1468">
        <v>1.3911453771409341</v>
      </c>
      <c r="O1025" s="1468">
        <v>1.4389295448733526</v>
      </c>
    </row>
    <row r="1026" spans="11:15">
      <c r="K1026" s="1465">
        <v>43083</v>
      </c>
      <c r="L1026" s="1466" t="s">
        <v>2127</v>
      </c>
      <c r="M1026" s="1467">
        <v>2.6481000000000001E-2</v>
      </c>
      <c r="N1026" s="1468">
        <v>1.3915137663482549</v>
      </c>
      <c r="O1026" s="1468">
        <v>1.43968542895257</v>
      </c>
    </row>
    <row r="1027" spans="11:15">
      <c r="K1027" s="1465">
        <v>43084</v>
      </c>
      <c r="L1027" s="1466" t="s">
        <v>2127</v>
      </c>
      <c r="M1027" s="1467">
        <v>2.6481000000000001E-2</v>
      </c>
      <c r="N1027" s="1468">
        <v>1.3918822531087216</v>
      </c>
      <c r="O1027" s="1468">
        <v>1.4404417101052531</v>
      </c>
    </row>
    <row r="1028" spans="11:15">
      <c r="K1028" s="1465">
        <v>43085</v>
      </c>
      <c r="L1028" s="1466"/>
      <c r="M1028" s="1467">
        <v>0</v>
      </c>
      <c r="N1028" s="1468">
        <v>1.3918822531087216</v>
      </c>
      <c r="O1028" s="1468">
        <v>1.4404417101052531</v>
      </c>
    </row>
    <row r="1029" spans="11:15">
      <c r="K1029" s="1465">
        <v>43086</v>
      </c>
      <c r="L1029" s="1466"/>
      <c r="M1029" s="1467">
        <v>0</v>
      </c>
      <c r="N1029" s="1468">
        <v>1.3918822531087216</v>
      </c>
      <c r="O1029" s="1468">
        <v>1.4404417101052531</v>
      </c>
    </row>
    <row r="1030" spans="11:15">
      <c r="K1030" s="1465">
        <v>43087</v>
      </c>
      <c r="L1030" s="1466" t="s">
        <v>2127</v>
      </c>
      <c r="M1030" s="1467">
        <v>2.6481000000000001E-2</v>
      </c>
      <c r="N1030" s="1468">
        <v>1.3922508374481672</v>
      </c>
      <c r="O1030" s="1468">
        <v>1.4411983885399886</v>
      </c>
    </row>
    <row r="1031" spans="11:15">
      <c r="K1031" s="1465">
        <v>43088</v>
      </c>
      <c r="L1031" s="1466" t="s">
        <v>2127</v>
      </c>
      <c r="M1031" s="1467">
        <v>2.6481000000000001E-2</v>
      </c>
      <c r="N1031" s="1468">
        <v>1.392619519392432</v>
      </c>
      <c r="O1031" s="1468">
        <v>1.4419554644654726</v>
      </c>
    </row>
    <row r="1032" spans="11:15">
      <c r="K1032" s="1465">
        <v>43089</v>
      </c>
      <c r="L1032" s="1466" t="s">
        <v>2127</v>
      </c>
      <c r="M1032" s="1467">
        <v>2.6481000000000001E-2</v>
      </c>
      <c r="N1032" s="1468">
        <v>1.3929882989673623</v>
      </c>
      <c r="O1032" s="1468">
        <v>1.442712938090511</v>
      </c>
    </row>
    <row r="1033" spans="11:15">
      <c r="K1033" s="1465">
        <v>43090</v>
      </c>
      <c r="L1033" s="1466" t="s">
        <v>2127</v>
      </c>
      <c r="M1033" s="1467">
        <v>2.6481000000000001E-2</v>
      </c>
      <c r="N1033" s="1468">
        <v>1.3933571761988119</v>
      </c>
      <c r="O1033" s="1468">
        <v>1.4434708096240194</v>
      </c>
    </row>
    <row r="1034" spans="11:15">
      <c r="K1034" s="1465">
        <v>43091</v>
      </c>
      <c r="L1034" s="1466" t="s">
        <v>2127</v>
      </c>
      <c r="M1034" s="1467">
        <v>2.6481000000000001E-2</v>
      </c>
      <c r="N1034" s="1468">
        <v>1.3937261511126411</v>
      </c>
      <c r="O1034" s="1468">
        <v>1.444229079275023</v>
      </c>
    </row>
    <row r="1035" spans="11:15">
      <c r="K1035" s="1465">
        <v>43092</v>
      </c>
      <c r="L1035" s="1466"/>
      <c r="M1035" s="1467">
        <v>0</v>
      </c>
      <c r="N1035" s="1468">
        <v>1.3937261511126411</v>
      </c>
      <c r="O1035" s="1468">
        <v>1.444229079275023</v>
      </c>
    </row>
    <row r="1036" spans="11:15">
      <c r="K1036" s="1465">
        <v>43093</v>
      </c>
      <c r="L1036" s="1466"/>
      <c r="M1036" s="1467">
        <v>0</v>
      </c>
      <c r="N1036" s="1468">
        <v>1.3937261511126411</v>
      </c>
      <c r="O1036" s="1468">
        <v>1.444229079275023</v>
      </c>
    </row>
    <row r="1037" spans="11:15">
      <c r="K1037" s="1465">
        <v>43094</v>
      </c>
      <c r="L1037" s="1466"/>
      <c r="M1037" s="1467">
        <v>0</v>
      </c>
      <c r="N1037" s="1468">
        <v>1.3937261511126411</v>
      </c>
      <c r="O1037" s="1468">
        <v>1.444229079275023</v>
      </c>
    </row>
    <row r="1038" spans="11:15">
      <c r="K1038" s="1465">
        <v>43095</v>
      </c>
      <c r="L1038" s="1466" t="s">
        <v>2127</v>
      </c>
      <c r="M1038" s="1467">
        <v>2.6481000000000001E-2</v>
      </c>
      <c r="N1038" s="1468">
        <v>1.3940952237347173</v>
      </c>
      <c r="O1038" s="1468">
        <v>1.4449877472526569</v>
      </c>
    </row>
    <row r="1039" spans="11:15">
      <c r="K1039" s="1465">
        <v>43096</v>
      </c>
      <c r="L1039" s="1466" t="s">
        <v>2127</v>
      </c>
      <c r="M1039" s="1467">
        <v>2.6481000000000001E-2</v>
      </c>
      <c r="N1039" s="1468">
        <v>1.3944643940909145</v>
      </c>
      <c r="O1039" s="1468">
        <v>1.4457468137661662</v>
      </c>
    </row>
    <row r="1040" spans="11:15">
      <c r="K1040" s="1465">
        <v>43097</v>
      </c>
      <c r="L1040" s="1466" t="s">
        <v>2127</v>
      </c>
      <c r="M1040" s="1467">
        <v>2.6481000000000001E-2</v>
      </c>
      <c r="N1040" s="1468">
        <v>1.3948336622071138</v>
      </c>
      <c r="O1040" s="1468">
        <v>1.4465062790249057</v>
      </c>
    </row>
    <row r="1041" spans="11:15">
      <c r="K1041" s="1465">
        <v>43098</v>
      </c>
      <c r="L1041" s="1466" t="s">
        <v>2127</v>
      </c>
      <c r="M1041" s="1467">
        <v>2.6481000000000001E-2</v>
      </c>
      <c r="N1041" s="1468">
        <v>1.3952030281092029</v>
      </c>
      <c r="O1041" s="1468">
        <v>1.4472661432383402</v>
      </c>
    </row>
    <row r="1042" spans="11:15">
      <c r="K1042" s="1465">
        <v>43099</v>
      </c>
      <c r="L1042" s="1466"/>
      <c r="M1042" s="1467">
        <v>0</v>
      </c>
      <c r="N1042" s="1468">
        <v>1.3952030281092029</v>
      </c>
      <c r="O1042" s="1468">
        <v>1.4472661432383402</v>
      </c>
    </row>
    <row r="1043" spans="11:15">
      <c r="K1043" s="1465">
        <v>43100</v>
      </c>
      <c r="L1043" s="1466"/>
      <c r="M1043" s="1467">
        <v>0</v>
      </c>
      <c r="N1043" s="1468">
        <v>1.3952030281092029</v>
      </c>
      <c r="O1043" s="1468">
        <v>1.4472661432383402</v>
      </c>
    </row>
    <row r="1044" spans="11:15">
      <c r="K1044" s="1465">
        <v>43101</v>
      </c>
      <c r="L1044" s="1466"/>
      <c r="M1044" s="1467">
        <v>0</v>
      </c>
      <c r="N1044" s="1468">
        <v>1.3952030281092029</v>
      </c>
      <c r="O1044" s="1468">
        <v>1.4472661432383402</v>
      </c>
    </row>
    <row r="1045" spans="11:15">
      <c r="K1045" s="1465">
        <v>43102</v>
      </c>
      <c r="L1045" s="1466" t="s">
        <v>2127</v>
      </c>
      <c r="M1045" s="1467">
        <v>2.6481000000000001E-2</v>
      </c>
      <c r="N1045" s="1468">
        <v>1.3955724918230765</v>
      </c>
      <c r="O1045" s="1468"/>
    </row>
    <row r="1046" spans="11:15">
      <c r="K1046" s="1465">
        <v>43103</v>
      </c>
      <c r="L1046" s="1466" t="s">
        <v>2127</v>
      </c>
      <c r="M1046" s="1467">
        <v>2.6481000000000001E-2</v>
      </c>
      <c r="N1046" s="1468">
        <v>1.3959420533746363</v>
      </c>
      <c r="O1046" s="1468"/>
    </row>
    <row r="1047" spans="11:15">
      <c r="K1047" s="1465">
        <v>43104</v>
      </c>
      <c r="L1047" s="1466" t="s">
        <v>2127</v>
      </c>
      <c r="M1047" s="1467">
        <v>2.6481000000000001E-2</v>
      </c>
      <c r="N1047" s="1468">
        <v>1.3963117127897904</v>
      </c>
      <c r="O1047" s="1468"/>
    </row>
    <row r="1048" spans="11:15">
      <c r="K1048" s="1465">
        <v>43105</v>
      </c>
      <c r="L1048" s="1466" t="s">
        <v>2127</v>
      </c>
      <c r="M1048" s="1467">
        <v>2.6481000000000001E-2</v>
      </c>
      <c r="N1048" s="1468">
        <v>1.3966814700944543</v>
      </c>
      <c r="O1048" s="1468"/>
    </row>
    <row r="1049" spans="11:15">
      <c r="K1049" s="1465">
        <v>43106</v>
      </c>
      <c r="L1049" s="1466"/>
      <c r="M1049" s="1467">
        <v>0</v>
      </c>
      <c r="N1049" s="1468">
        <v>1.3966814700944543</v>
      </c>
      <c r="O1049" s="1468"/>
    </row>
    <row r="1050" spans="11:15">
      <c r="K1050" s="1465">
        <v>43107</v>
      </c>
      <c r="L1050" s="1466"/>
      <c r="M1050" s="1467">
        <v>0</v>
      </c>
      <c r="N1050" s="1468">
        <v>1.3966814700944543</v>
      </c>
      <c r="O1050" s="1468"/>
    </row>
    <row r="1051" spans="11:15">
      <c r="K1051" s="1465">
        <v>43108</v>
      </c>
      <c r="L1051" s="1466" t="s">
        <v>2127</v>
      </c>
      <c r="M1051" s="1467">
        <v>2.6481000000000001E-2</v>
      </c>
      <c r="N1051" s="1468">
        <v>1.39705132531455</v>
      </c>
      <c r="O1051" s="1468"/>
    </row>
    <row r="1052" spans="11:15">
      <c r="K1052" s="1465">
        <v>43109</v>
      </c>
      <c r="L1052" s="1466" t="s">
        <v>2127</v>
      </c>
      <c r="M1052" s="1467">
        <v>2.6481000000000001E-2</v>
      </c>
      <c r="N1052" s="1468">
        <v>1.3974212784760065</v>
      </c>
      <c r="O1052" s="1468"/>
    </row>
    <row r="1053" spans="11:15">
      <c r="K1053" s="1465">
        <v>43110</v>
      </c>
      <c r="L1053" s="1466" t="s">
        <v>2127</v>
      </c>
      <c r="M1053" s="1467">
        <v>2.6481000000000001E-2</v>
      </c>
      <c r="N1053" s="1468">
        <v>1.3977913296047597</v>
      </c>
      <c r="O1053" s="1468"/>
    </row>
    <row r="1054" spans="11:15">
      <c r="K1054" s="1465">
        <v>43111</v>
      </c>
      <c r="L1054" s="1466" t="s">
        <v>2127</v>
      </c>
      <c r="M1054" s="1467">
        <v>2.6481000000000001E-2</v>
      </c>
      <c r="N1054" s="1468">
        <v>1.3981614787267524</v>
      </c>
      <c r="O1054" s="1468"/>
    </row>
    <row r="1055" spans="11:15">
      <c r="K1055" s="1465">
        <v>43112</v>
      </c>
      <c r="L1055" s="1466" t="s">
        <v>2127</v>
      </c>
      <c r="M1055" s="1467">
        <v>2.6481000000000001E-2</v>
      </c>
      <c r="N1055" s="1468">
        <v>1.3985317258679342</v>
      </c>
      <c r="O1055" s="1468"/>
    </row>
    <row r="1056" spans="11:15">
      <c r="K1056" s="1465">
        <v>43113</v>
      </c>
      <c r="L1056" s="1466"/>
      <c r="M1056" s="1467">
        <v>0</v>
      </c>
      <c r="N1056" s="1468">
        <v>1.3985317258679342</v>
      </c>
      <c r="O1056" s="1468"/>
    </row>
    <row r="1057" spans="11:15">
      <c r="K1057" s="1465">
        <v>43114</v>
      </c>
      <c r="L1057" s="1466"/>
      <c r="M1057" s="1467">
        <v>0</v>
      </c>
      <c r="N1057" s="1468">
        <v>1.3985317258679342</v>
      </c>
      <c r="O1057" s="1468"/>
    </row>
    <row r="1058" spans="11:15">
      <c r="K1058" s="1465">
        <v>43115</v>
      </c>
      <c r="L1058" s="1466" t="s">
        <v>2127</v>
      </c>
      <c r="M1058" s="1467">
        <v>2.6481000000000001E-2</v>
      </c>
      <c r="N1058" s="1468">
        <v>1.3989020710542612</v>
      </c>
      <c r="O1058" s="1468"/>
    </row>
    <row r="1059" spans="11:15">
      <c r="K1059" s="1465">
        <v>43116</v>
      </c>
      <c r="L1059" s="1466" t="s">
        <v>2127</v>
      </c>
      <c r="M1059" s="1467">
        <v>2.6481000000000001E-2</v>
      </c>
      <c r="N1059" s="1468">
        <v>1.3992725143116971</v>
      </c>
      <c r="O1059" s="1468"/>
    </row>
    <row r="1060" spans="11:15">
      <c r="K1060" s="1465">
        <v>43117</v>
      </c>
      <c r="L1060" s="1466" t="s">
        <v>2127</v>
      </c>
      <c r="M1060" s="1467">
        <v>2.6481000000000001E-2</v>
      </c>
      <c r="N1060" s="1468">
        <v>1.3996430556662121</v>
      </c>
      <c r="O1060" s="1468"/>
    </row>
    <row r="1061" spans="11:15">
      <c r="K1061" s="1465">
        <v>43118</v>
      </c>
      <c r="L1061" s="1466" t="s">
        <v>2127</v>
      </c>
      <c r="M1061" s="1467">
        <v>2.6481000000000001E-2</v>
      </c>
      <c r="N1061" s="1468">
        <v>1.4000136951437829</v>
      </c>
      <c r="O1061" s="1468"/>
    </row>
    <row r="1062" spans="11:15">
      <c r="K1062" s="1465">
        <v>43119</v>
      </c>
      <c r="L1062" s="1466" t="s">
        <v>2127</v>
      </c>
      <c r="M1062" s="1467">
        <v>2.6481000000000001E-2</v>
      </c>
      <c r="N1062" s="1468">
        <v>1.400384432770394</v>
      </c>
      <c r="O1062" s="1468"/>
    </row>
    <row r="1063" spans="11:15">
      <c r="K1063" s="1465">
        <v>43120</v>
      </c>
      <c r="L1063" s="1466"/>
      <c r="M1063" s="1467">
        <v>0</v>
      </c>
      <c r="N1063" s="1468">
        <v>1.400384432770394</v>
      </c>
      <c r="O1063" s="1468"/>
    </row>
    <row r="1064" spans="11:15">
      <c r="K1064" s="1465">
        <v>43121</v>
      </c>
      <c r="L1064" s="1466"/>
      <c r="M1064" s="1467">
        <v>0</v>
      </c>
      <c r="N1064" s="1468">
        <v>1.400384432770394</v>
      </c>
      <c r="O1064" s="1468"/>
    </row>
    <row r="1065" spans="11:15">
      <c r="K1065" s="1465">
        <v>43122</v>
      </c>
      <c r="L1065" s="1466" t="s">
        <v>2127</v>
      </c>
      <c r="M1065" s="1467">
        <v>2.6481000000000001E-2</v>
      </c>
      <c r="N1065" s="1468">
        <v>1.4007552685720359</v>
      </c>
      <c r="O1065" s="1468"/>
    </row>
    <row r="1066" spans="11:15">
      <c r="K1066" s="1465">
        <v>43123</v>
      </c>
      <c r="L1066" s="1466" t="s">
        <v>2127</v>
      </c>
      <c r="M1066" s="1467">
        <v>2.6481000000000001E-2</v>
      </c>
      <c r="N1066" s="1468">
        <v>1.4011262025747064</v>
      </c>
      <c r="O1066" s="1468"/>
    </row>
    <row r="1067" spans="11:15">
      <c r="K1067" s="1465">
        <v>43124</v>
      </c>
      <c r="L1067" s="1466" t="s">
        <v>2127</v>
      </c>
      <c r="M1067" s="1467">
        <v>2.6481000000000001E-2</v>
      </c>
      <c r="N1067" s="1468">
        <v>1.4014972348044104</v>
      </c>
      <c r="O1067" s="1468"/>
    </row>
    <row r="1068" spans="11:15">
      <c r="K1068" s="1465">
        <v>43125</v>
      </c>
      <c r="L1068" s="1466" t="s">
        <v>2127</v>
      </c>
      <c r="M1068" s="1467">
        <v>2.6481000000000001E-2</v>
      </c>
      <c r="N1068" s="1468">
        <v>1.4018683652871589</v>
      </c>
      <c r="O1068" s="1468"/>
    </row>
    <row r="1069" spans="11:15">
      <c r="K1069" s="1465">
        <v>43126</v>
      </c>
      <c r="L1069" s="1466" t="s">
        <v>2127</v>
      </c>
      <c r="M1069" s="1467">
        <v>2.6481000000000001E-2</v>
      </c>
      <c r="N1069" s="1468">
        <v>1.4022395940489705</v>
      </c>
      <c r="O1069" s="1468"/>
    </row>
    <row r="1070" spans="11:15">
      <c r="K1070" s="1465">
        <v>43127</v>
      </c>
      <c r="L1070" s="1466"/>
      <c r="M1070" s="1467">
        <v>0</v>
      </c>
      <c r="N1070" s="1468">
        <v>1.4022395940489705</v>
      </c>
      <c r="O1070" s="1468"/>
    </row>
    <row r="1071" spans="11:15">
      <c r="K1071" s="1465">
        <v>43128</v>
      </c>
      <c r="L1071" s="1466"/>
      <c r="M1071" s="1467">
        <v>0</v>
      </c>
      <c r="N1071" s="1468">
        <v>1.4022395940489705</v>
      </c>
      <c r="O1071" s="1468"/>
    </row>
    <row r="1072" spans="11:15">
      <c r="K1072" s="1465">
        <v>43129</v>
      </c>
      <c r="L1072" s="1466" t="s">
        <v>2127</v>
      </c>
      <c r="M1072" s="1467">
        <v>2.6481000000000001E-2</v>
      </c>
      <c r="N1072" s="1468">
        <v>1.4026109211158706</v>
      </c>
      <c r="O1072" s="1468"/>
    </row>
    <row r="1073" spans="11:15">
      <c r="K1073" s="1465">
        <v>43130</v>
      </c>
      <c r="L1073" s="1466" t="s">
        <v>2127</v>
      </c>
      <c r="M1073" s="1467">
        <v>2.6481000000000001E-2</v>
      </c>
      <c r="N1073" s="1468">
        <v>1.4029823465138913</v>
      </c>
      <c r="O1073" s="1468"/>
    </row>
    <row r="1074" spans="11:15">
      <c r="K1074" s="1465">
        <v>43131</v>
      </c>
      <c r="L1074" s="1466" t="s">
        <v>2127</v>
      </c>
      <c r="M1074" s="1467">
        <v>2.6481000000000001E-2</v>
      </c>
      <c r="N1074" s="1468">
        <v>1.4033538702690718</v>
      </c>
      <c r="O1074" s="1468"/>
    </row>
    <row r="1075" spans="11:15">
      <c r="K1075" s="1465">
        <v>43132</v>
      </c>
      <c r="L1075" s="1466" t="s">
        <v>2127</v>
      </c>
      <c r="M1075" s="1467">
        <v>2.6481000000000001E-2</v>
      </c>
      <c r="N1075" s="1468">
        <v>1.4037254924074578</v>
      </c>
      <c r="O1075" s="1468"/>
    </row>
    <row r="1076" spans="11:15">
      <c r="K1076" s="1465">
        <v>43133</v>
      </c>
      <c r="L1076" s="1466" t="s">
        <v>2127</v>
      </c>
      <c r="M1076" s="1467">
        <v>2.6481000000000001E-2</v>
      </c>
      <c r="N1076" s="1468">
        <v>1.4040972129551021</v>
      </c>
      <c r="O1076" s="1468"/>
    </row>
    <row r="1077" spans="11:15">
      <c r="K1077" s="1465">
        <v>43134</v>
      </c>
      <c r="L1077" s="1466"/>
      <c r="M1077" s="1467">
        <v>0</v>
      </c>
      <c r="N1077" s="1468">
        <v>1.4040972129551021</v>
      </c>
      <c r="O1077" s="1468"/>
    </row>
    <row r="1078" spans="11:15">
      <c r="K1078" s="1465">
        <v>43135</v>
      </c>
      <c r="L1078" s="1466"/>
      <c r="M1078" s="1467">
        <v>0</v>
      </c>
      <c r="N1078" s="1468">
        <v>1.4040972129551021</v>
      </c>
      <c r="O1078" s="1468"/>
    </row>
    <row r="1079" spans="11:15">
      <c r="K1079" s="1465">
        <v>43136</v>
      </c>
      <c r="L1079" s="1466" t="s">
        <v>2127</v>
      </c>
      <c r="M1079" s="1467">
        <v>2.6481000000000001E-2</v>
      </c>
      <c r="N1079" s="1468">
        <v>1.4044690319380648</v>
      </c>
      <c r="O1079" s="1468"/>
    </row>
    <row r="1080" spans="11:15">
      <c r="K1080" s="1465">
        <v>43137</v>
      </c>
      <c r="L1080" s="1466" t="s">
        <v>2127</v>
      </c>
      <c r="M1080" s="1467">
        <v>2.6481000000000001E-2</v>
      </c>
      <c r="N1080" s="1468">
        <v>1.4048409493824123</v>
      </c>
      <c r="O1080" s="1468"/>
    </row>
    <row r="1081" spans="11:15">
      <c r="K1081" s="1465">
        <v>43138</v>
      </c>
      <c r="L1081" s="1466" t="s">
        <v>2127</v>
      </c>
      <c r="M1081" s="1467">
        <v>2.6481000000000001E-2</v>
      </c>
      <c r="N1081" s="1468">
        <v>1.4052129653142182</v>
      </c>
      <c r="O1081" s="1468"/>
    </row>
    <row r="1082" spans="11:15">
      <c r="K1082" s="1465">
        <v>43139</v>
      </c>
      <c r="L1082" s="1466" t="s">
        <v>2127</v>
      </c>
      <c r="M1082" s="1467">
        <v>2.5551999999999998E-2</v>
      </c>
      <c r="N1082" s="1468">
        <v>1.4055720253311155</v>
      </c>
      <c r="O1082" s="1468"/>
    </row>
    <row r="1083" spans="11:15">
      <c r="K1083" s="1465">
        <v>43140</v>
      </c>
      <c r="L1083" s="1466" t="s">
        <v>2127</v>
      </c>
      <c r="M1083" s="1467">
        <v>2.5551999999999998E-2</v>
      </c>
      <c r="N1083" s="1468">
        <v>1.4059311770950282</v>
      </c>
      <c r="O1083" s="1468"/>
    </row>
    <row r="1084" spans="11:15">
      <c r="K1084" s="1465">
        <v>43141</v>
      </c>
      <c r="L1084" s="1466"/>
      <c r="M1084" s="1467">
        <v>0</v>
      </c>
      <c r="N1084" s="1468">
        <v>1.4059311770950282</v>
      </c>
      <c r="O1084" s="1468"/>
    </row>
    <row r="1085" spans="11:15">
      <c r="K1085" s="1465">
        <v>43142</v>
      </c>
      <c r="L1085" s="1466"/>
      <c r="M1085" s="1467">
        <v>0</v>
      </c>
      <c r="N1085" s="1468">
        <v>1.4059311770950282</v>
      </c>
      <c r="O1085" s="1468"/>
    </row>
    <row r="1086" spans="11:15">
      <c r="K1086" s="1465">
        <v>43143</v>
      </c>
      <c r="L1086" s="1466"/>
      <c r="M1086" s="1467">
        <v>0</v>
      </c>
      <c r="N1086" s="1468">
        <v>1.4059311770950282</v>
      </c>
      <c r="O1086" s="1468"/>
    </row>
    <row r="1087" spans="11:15">
      <c r="K1087" s="1465">
        <v>43144</v>
      </c>
      <c r="L1087" s="1466"/>
      <c r="M1087" s="1467">
        <v>0</v>
      </c>
      <c r="N1087" s="1468">
        <v>1.4059311770950282</v>
      </c>
      <c r="O1087" s="1468"/>
    </row>
    <row r="1088" spans="11:15">
      <c r="K1088" s="1465">
        <v>43145</v>
      </c>
      <c r="L1088" s="1466" t="s">
        <v>2127</v>
      </c>
      <c r="M1088" s="1467">
        <v>2.5551999999999998E-2</v>
      </c>
      <c r="N1088" s="1468">
        <v>1.4062904206293996</v>
      </c>
      <c r="O1088" s="1468"/>
    </row>
    <row r="1089" spans="11:15">
      <c r="K1089" s="1465">
        <v>43146</v>
      </c>
      <c r="L1089" s="1466" t="s">
        <v>2127</v>
      </c>
      <c r="M1089" s="1467">
        <v>2.5551999999999998E-2</v>
      </c>
      <c r="N1089" s="1468">
        <v>1.4066497559576789</v>
      </c>
      <c r="O1089" s="1468"/>
    </row>
    <row r="1090" spans="11:15">
      <c r="K1090" s="1465">
        <v>43147</v>
      </c>
      <c r="L1090" s="1466" t="s">
        <v>2127</v>
      </c>
      <c r="M1090" s="1467">
        <v>2.5551999999999998E-2</v>
      </c>
      <c r="N1090" s="1468">
        <v>1.4070091831033213</v>
      </c>
      <c r="O1090" s="1468"/>
    </row>
    <row r="1091" spans="11:15">
      <c r="K1091" s="1465">
        <v>43148</v>
      </c>
      <c r="L1091" s="1466"/>
      <c r="M1091" s="1467">
        <v>0</v>
      </c>
      <c r="N1091" s="1468">
        <v>1.4070091831033213</v>
      </c>
      <c r="O1091" s="1468"/>
    </row>
    <row r="1092" spans="11:15">
      <c r="K1092" s="1465">
        <v>43149</v>
      </c>
      <c r="L1092" s="1466"/>
      <c r="M1092" s="1467">
        <v>0</v>
      </c>
      <c r="N1092" s="1468">
        <v>1.4070091831033213</v>
      </c>
      <c r="O1092" s="1468"/>
    </row>
    <row r="1093" spans="11:15">
      <c r="K1093" s="1465">
        <v>43150</v>
      </c>
      <c r="L1093" s="1466" t="s">
        <v>2127</v>
      </c>
      <c r="M1093" s="1467">
        <v>2.5551999999999998E-2</v>
      </c>
      <c r="N1093" s="1468">
        <v>1.407368702089788</v>
      </c>
      <c r="O1093" s="1468"/>
    </row>
    <row r="1094" spans="11:15">
      <c r="K1094" s="1465">
        <v>43151</v>
      </c>
      <c r="L1094" s="1466" t="s">
        <v>2127</v>
      </c>
      <c r="M1094" s="1467">
        <v>2.5551999999999998E-2</v>
      </c>
      <c r="N1094" s="1468">
        <v>1.407728312940546</v>
      </c>
      <c r="O1094" s="1468"/>
    </row>
    <row r="1095" spans="11:15">
      <c r="K1095" s="1465">
        <v>43152</v>
      </c>
      <c r="L1095" s="1466" t="s">
        <v>2127</v>
      </c>
      <c r="M1095" s="1467">
        <v>2.5551999999999998E-2</v>
      </c>
      <c r="N1095" s="1468">
        <v>1.4080880156790687</v>
      </c>
      <c r="O1095" s="1468"/>
    </row>
    <row r="1096" spans="11:15">
      <c r="K1096" s="1465">
        <v>43153</v>
      </c>
      <c r="L1096" s="1466" t="s">
        <v>2127</v>
      </c>
      <c r="M1096" s="1467">
        <v>2.5551999999999998E-2</v>
      </c>
      <c r="N1096" s="1468">
        <v>1.4084478103288351</v>
      </c>
      <c r="O1096" s="1468"/>
    </row>
    <row r="1097" spans="11:15">
      <c r="K1097" s="1465">
        <v>43154</v>
      </c>
      <c r="L1097" s="1466" t="s">
        <v>2127</v>
      </c>
      <c r="M1097" s="1467">
        <v>2.5551999999999998E-2</v>
      </c>
      <c r="N1097" s="1468">
        <v>1.4088076969133305</v>
      </c>
      <c r="O1097" s="1468"/>
    </row>
    <row r="1098" spans="11:15">
      <c r="K1098" s="1465">
        <v>43155</v>
      </c>
      <c r="L1098" s="1466"/>
      <c r="M1098" s="1467">
        <v>0</v>
      </c>
      <c r="N1098" s="1468">
        <v>1.4088076969133305</v>
      </c>
      <c r="O1098" s="1468"/>
    </row>
    <row r="1099" spans="11:15">
      <c r="K1099" s="1465">
        <v>43156</v>
      </c>
      <c r="L1099" s="1466"/>
      <c r="M1099" s="1467">
        <v>0</v>
      </c>
      <c r="N1099" s="1468">
        <v>1.4088076969133305</v>
      </c>
      <c r="O1099" s="1468"/>
    </row>
    <row r="1100" spans="11:15">
      <c r="K1100" s="1465">
        <v>43157</v>
      </c>
      <c r="L1100" s="1466" t="s">
        <v>2127</v>
      </c>
      <c r="M1100" s="1467">
        <v>2.5551999999999998E-2</v>
      </c>
      <c r="N1100" s="1468">
        <v>1.4091676754560458</v>
      </c>
      <c r="O1100" s="1468"/>
    </row>
    <row r="1101" spans="11:15">
      <c r="K1101" s="1465">
        <v>43158</v>
      </c>
      <c r="L1101" s="1466" t="s">
        <v>2127</v>
      </c>
      <c r="M1101" s="1467">
        <v>2.5551999999999998E-2</v>
      </c>
      <c r="N1101" s="1468">
        <v>1.4095277459804785</v>
      </c>
      <c r="O1101" s="1468"/>
    </row>
    <row r="1102" spans="11:15">
      <c r="K1102" s="1465">
        <v>43159</v>
      </c>
      <c r="L1102" s="1466" t="s">
        <v>2127</v>
      </c>
      <c r="M1102" s="1467">
        <v>2.5551999999999998E-2</v>
      </c>
      <c r="N1102" s="1468">
        <v>1.4098879085101315</v>
      </c>
      <c r="O1102" s="1468"/>
    </row>
    <row r="1103" spans="11:15">
      <c r="K1103" s="1465">
        <v>43160</v>
      </c>
      <c r="L1103" s="1466" t="s">
        <v>2127</v>
      </c>
      <c r="M1103" s="1467">
        <v>2.5551999999999998E-2</v>
      </c>
      <c r="N1103" s="1468">
        <v>1.410248163068514</v>
      </c>
      <c r="O1103" s="1468"/>
    </row>
    <row r="1104" spans="11:15">
      <c r="K1104" s="1465">
        <v>43161</v>
      </c>
      <c r="L1104" s="1466" t="s">
        <v>2127</v>
      </c>
      <c r="M1104" s="1467">
        <v>2.5551999999999998E-2</v>
      </c>
      <c r="N1104" s="1468">
        <v>1.4106085096791414</v>
      </c>
      <c r="O1104" s="1468"/>
    </row>
    <row r="1105" spans="11:15">
      <c r="K1105" s="1465">
        <v>43162</v>
      </c>
      <c r="L1105" s="1466"/>
      <c r="M1105" s="1467">
        <v>0</v>
      </c>
      <c r="N1105" s="1468">
        <v>1.4106085096791414</v>
      </c>
      <c r="O1105" s="1468"/>
    </row>
    <row r="1106" spans="11:15">
      <c r="K1106" s="1465">
        <v>43163</v>
      </c>
      <c r="L1106" s="1466"/>
      <c r="M1106" s="1467">
        <v>0</v>
      </c>
      <c r="N1106" s="1468">
        <v>1.4106085096791414</v>
      </c>
      <c r="O1106" s="1468"/>
    </row>
    <row r="1107" spans="11:15">
      <c r="K1107" s="1465">
        <v>43164</v>
      </c>
      <c r="L1107" s="1466" t="s">
        <v>2127</v>
      </c>
      <c r="M1107" s="1467">
        <v>2.5551999999999998E-2</v>
      </c>
      <c r="N1107" s="1468">
        <v>1.4109689483655348</v>
      </c>
      <c r="O1107" s="1468"/>
    </row>
    <row r="1108" spans="11:15">
      <c r="K1108" s="1465">
        <v>43165</v>
      </c>
      <c r="L1108" s="1466" t="s">
        <v>2127</v>
      </c>
      <c r="M1108" s="1467">
        <v>2.5551999999999998E-2</v>
      </c>
      <c r="N1108" s="1468">
        <v>1.4113294791512212</v>
      </c>
      <c r="O1108" s="1468"/>
    </row>
    <row r="1109" spans="11:15">
      <c r="K1109" s="1465">
        <v>43166</v>
      </c>
      <c r="L1109" s="1466" t="s">
        <v>2127</v>
      </c>
      <c r="M1109" s="1467">
        <v>2.5551999999999998E-2</v>
      </c>
      <c r="N1109" s="1468">
        <v>1.4116901020597341</v>
      </c>
      <c r="O1109" s="1468"/>
    </row>
    <row r="1110" spans="11:15">
      <c r="K1110" s="1465">
        <v>43167</v>
      </c>
      <c r="L1110" s="1466" t="s">
        <v>2127</v>
      </c>
      <c r="M1110" s="1467">
        <v>2.5551999999999998E-2</v>
      </c>
      <c r="N1110" s="1468">
        <v>1.4120508171146124</v>
      </c>
      <c r="O1110" s="1468"/>
    </row>
    <row r="1111" spans="11:15">
      <c r="K1111" s="1465">
        <v>43168</v>
      </c>
      <c r="L1111" s="1466" t="s">
        <v>2127</v>
      </c>
      <c r="M1111" s="1467">
        <v>2.5551999999999998E-2</v>
      </c>
      <c r="N1111" s="1468">
        <v>1.4124116243394016</v>
      </c>
      <c r="O1111" s="1468"/>
    </row>
    <row r="1112" spans="11:15">
      <c r="K1112" s="1465">
        <v>43169</v>
      </c>
      <c r="L1112" s="1466"/>
      <c r="M1112" s="1467">
        <v>0</v>
      </c>
      <c r="N1112" s="1468">
        <v>1.4124116243394016</v>
      </c>
      <c r="O1112" s="1468"/>
    </row>
    <row r="1113" spans="11:15">
      <c r="K1113" s="1465">
        <v>43170</v>
      </c>
      <c r="L1113" s="1466"/>
      <c r="M1113" s="1467">
        <v>0</v>
      </c>
      <c r="N1113" s="1468">
        <v>1.4124116243394016</v>
      </c>
      <c r="O1113" s="1468"/>
    </row>
    <row r="1114" spans="11:15">
      <c r="K1114" s="1465">
        <v>43171</v>
      </c>
      <c r="L1114" s="1466" t="s">
        <v>2127</v>
      </c>
      <c r="M1114" s="1467">
        <v>2.5551999999999998E-2</v>
      </c>
      <c r="N1114" s="1468">
        <v>1.4127725237576529</v>
      </c>
      <c r="O1114" s="1468"/>
    </row>
    <row r="1115" spans="11:15">
      <c r="K1115" s="1465">
        <v>43172</v>
      </c>
      <c r="L1115" s="1466" t="s">
        <v>2127</v>
      </c>
      <c r="M1115" s="1467">
        <v>2.5551999999999998E-2</v>
      </c>
      <c r="N1115" s="1468">
        <v>1.4131335153929236</v>
      </c>
      <c r="O1115" s="1468"/>
    </row>
    <row r="1116" spans="11:15">
      <c r="K1116" s="1465">
        <v>43173</v>
      </c>
      <c r="L1116" s="1466" t="s">
        <v>2127</v>
      </c>
      <c r="M1116" s="1467">
        <v>2.5551999999999998E-2</v>
      </c>
      <c r="N1116" s="1468">
        <v>1.4134945992687769</v>
      </c>
      <c r="O1116" s="1468"/>
    </row>
    <row r="1117" spans="11:15">
      <c r="K1117" s="1465">
        <v>43174</v>
      </c>
      <c r="L1117" s="1466" t="s">
        <v>2127</v>
      </c>
      <c r="M1117" s="1467">
        <v>2.5551999999999998E-2</v>
      </c>
      <c r="N1117" s="1468">
        <v>1.4138557754087822</v>
      </c>
      <c r="O1117" s="1468"/>
    </row>
    <row r="1118" spans="11:15">
      <c r="K1118" s="1465">
        <v>43175</v>
      </c>
      <c r="L1118" s="1466" t="s">
        <v>2127</v>
      </c>
      <c r="M1118" s="1467">
        <v>2.5551999999999998E-2</v>
      </c>
      <c r="N1118" s="1468">
        <v>1.4142170438365147</v>
      </c>
      <c r="O1118" s="1468"/>
    </row>
    <row r="1119" spans="11:15">
      <c r="K1119" s="1465">
        <v>43176</v>
      </c>
      <c r="L1119" s="1466"/>
      <c r="M1119" s="1467">
        <v>0</v>
      </c>
      <c r="N1119" s="1468">
        <v>1.4142170438365147</v>
      </c>
      <c r="O1119" s="1468"/>
    </row>
    <row r="1120" spans="11:15">
      <c r="K1120" s="1465">
        <v>43177</v>
      </c>
      <c r="L1120" s="1466"/>
      <c r="M1120" s="1467">
        <v>0</v>
      </c>
      <c r="N1120" s="1468">
        <v>1.4142170438365147</v>
      </c>
      <c r="O1120" s="1468"/>
    </row>
    <row r="1121" spans="11:15">
      <c r="K1121" s="1465">
        <v>43178</v>
      </c>
      <c r="L1121" s="1466" t="s">
        <v>2127</v>
      </c>
      <c r="M1121" s="1467">
        <v>2.5551999999999998E-2</v>
      </c>
      <c r="N1121" s="1468">
        <v>1.4145784045755558</v>
      </c>
      <c r="O1121" s="1468"/>
    </row>
    <row r="1122" spans="11:15">
      <c r="K1122" s="1465">
        <v>43179</v>
      </c>
      <c r="L1122" s="1466" t="s">
        <v>2127</v>
      </c>
      <c r="M1122" s="1467">
        <v>2.5551999999999998E-2</v>
      </c>
      <c r="N1122" s="1468">
        <v>1.4149398576494931</v>
      </c>
      <c r="O1122" s="1468"/>
    </row>
    <row r="1123" spans="11:15">
      <c r="K1123" s="1465">
        <v>43180</v>
      </c>
      <c r="L1123" s="1466" t="s">
        <v>2127</v>
      </c>
      <c r="M1123" s="1467">
        <v>2.5551999999999998E-2</v>
      </c>
      <c r="N1123" s="1468">
        <v>1.4153014030819198</v>
      </c>
      <c r="O1123" s="1468"/>
    </row>
    <row r="1124" spans="11:15">
      <c r="K1124" s="1465">
        <v>43181</v>
      </c>
      <c r="L1124" s="1466" t="s">
        <v>2127</v>
      </c>
      <c r="M1124" s="1467">
        <v>2.462E-2</v>
      </c>
      <c r="N1124" s="1468">
        <v>1.4156498502873587</v>
      </c>
      <c r="O1124" s="1468"/>
    </row>
    <row r="1125" spans="11:15">
      <c r="K1125" s="1465">
        <v>43182</v>
      </c>
      <c r="L1125" s="1466" t="s">
        <v>2127</v>
      </c>
      <c r="M1125" s="1467">
        <v>2.462E-2</v>
      </c>
      <c r="N1125" s="1468">
        <v>1.4159983832804997</v>
      </c>
      <c r="O1125" s="1468"/>
    </row>
    <row r="1126" spans="11:15">
      <c r="K1126" s="1465">
        <v>43183</v>
      </c>
      <c r="L1126" s="1466"/>
      <c r="M1126" s="1467">
        <v>0</v>
      </c>
      <c r="N1126" s="1468">
        <v>1.4159983832804997</v>
      </c>
      <c r="O1126" s="1468"/>
    </row>
    <row r="1127" spans="11:15">
      <c r="K1127" s="1465">
        <v>43184</v>
      </c>
      <c r="L1127" s="1466"/>
      <c r="M1127" s="1467">
        <v>0</v>
      </c>
      <c r="N1127" s="1468">
        <v>1.4159983832804997</v>
      </c>
      <c r="O1127" s="1468"/>
    </row>
    <row r="1128" spans="11:15">
      <c r="K1128" s="1465">
        <v>43185</v>
      </c>
      <c r="L1128" s="1466" t="s">
        <v>2127</v>
      </c>
      <c r="M1128" s="1467">
        <v>2.462E-2</v>
      </c>
      <c r="N1128" s="1468">
        <v>1.4163470020824633</v>
      </c>
      <c r="O1128" s="1468"/>
    </row>
    <row r="1129" spans="11:15">
      <c r="K1129" s="1465">
        <v>43186</v>
      </c>
      <c r="L1129" s="1466" t="s">
        <v>2127</v>
      </c>
      <c r="M1129" s="1467">
        <v>2.462E-2</v>
      </c>
      <c r="N1129" s="1468">
        <v>1.4166957067143762</v>
      </c>
      <c r="O1129" s="1468"/>
    </row>
    <row r="1130" spans="11:15">
      <c r="K1130" s="1465">
        <v>43187</v>
      </c>
      <c r="L1130" s="1466" t="s">
        <v>2127</v>
      </c>
      <c r="M1130" s="1467">
        <v>2.462E-2</v>
      </c>
      <c r="N1130" s="1468">
        <v>1.4170444971973695</v>
      </c>
      <c r="O1130" s="1468"/>
    </row>
    <row r="1131" spans="11:15">
      <c r="K1131" s="1465">
        <v>43188</v>
      </c>
      <c r="L1131" s="1466" t="s">
        <v>2127</v>
      </c>
      <c r="M1131" s="1467">
        <v>2.462E-2</v>
      </c>
      <c r="N1131" s="1468">
        <v>1.4173933735525797</v>
      </c>
      <c r="O1131" s="1468"/>
    </row>
    <row r="1132" spans="11:15">
      <c r="K1132" s="1465">
        <v>43189</v>
      </c>
      <c r="L1132" s="1466"/>
      <c r="M1132" s="1467">
        <v>0</v>
      </c>
      <c r="N1132" s="1468">
        <v>1.4173933735525797</v>
      </c>
      <c r="O1132" s="1468"/>
    </row>
    <row r="1133" spans="11:15">
      <c r="K1133" s="1465">
        <v>43190</v>
      </c>
      <c r="L1133" s="1466"/>
      <c r="M1133" s="1467">
        <v>0</v>
      </c>
      <c r="N1133" s="1468">
        <v>1.4173933735525797</v>
      </c>
      <c r="O1133" s="1468"/>
    </row>
    <row r="1134" spans="11:15">
      <c r="K1134" s="1465">
        <v>43191</v>
      </c>
      <c r="L1134" s="1466"/>
      <c r="M1134" s="1467">
        <v>0</v>
      </c>
      <c r="N1134" s="1468">
        <v>1.4173933735525797</v>
      </c>
      <c r="O1134" s="1468"/>
    </row>
    <row r="1135" spans="11:15">
      <c r="K1135" s="1465">
        <v>43192</v>
      </c>
      <c r="L1135" s="1466" t="s">
        <v>2127</v>
      </c>
      <c r="M1135" s="1467">
        <v>2.462E-2</v>
      </c>
      <c r="N1135" s="1468">
        <v>1.4177423358011485</v>
      </c>
      <c r="O1135" s="1468"/>
    </row>
    <row r="1136" spans="11:15">
      <c r="K1136" s="1465">
        <v>43193</v>
      </c>
      <c r="L1136" s="1466" t="s">
        <v>2127</v>
      </c>
      <c r="M1136" s="1467">
        <v>2.462E-2</v>
      </c>
      <c r="N1136" s="1468">
        <v>1.4180913839642229</v>
      </c>
      <c r="O1136" s="1468"/>
    </row>
    <row r="1137" spans="11:15">
      <c r="K1137" s="1465">
        <v>43194</v>
      </c>
      <c r="L1137" s="1466" t="s">
        <v>2127</v>
      </c>
      <c r="M1137" s="1467">
        <v>2.462E-2</v>
      </c>
      <c r="N1137" s="1468">
        <v>1.4184405180629549</v>
      </c>
      <c r="O1137" s="1468"/>
    </row>
    <row r="1138" spans="11:15">
      <c r="K1138" s="1465">
        <v>43195</v>
      </c>
      <c r="L1138" s="1466" t="s">
        <v>2127</v>
      </c>
      <c r="M1138" s="1467">
        <v>2.462E-2</v>
      </c>
      <c r="N1138" s="1468">
        <v>1.4187897381185022</v>
      </c>
      <c r="O1138" s="1468"/>
    </row>
    <row r="1139" spans="11:15">
      <c r="K1139" s="1465">
        <v>43196</v>
      </c>
      <c r="L1139" s="1466" t="s">
        <v>2127</v>
      </c>
      <c r="M1139" s="1467">
        <v>2.462E-2</v>
      </c>
      <c r="N1139" s="1468">
        <v>1.4191390441520271</v>
      </c>
      <c r="O1139" s="1468"/>
    </row>
    <row r="1140" spans="11:15">
      <c r="K1140" s="1465">
        <v>43197</v>
      </c>
      <c r="L1140" s="1466"/>
      <c r="M1140" s="1467">
        <v>0</v>
      </c>
      <c r="N1140" s="1468">
        <v>1.4191390441520271</v>
      </c>
      <c r="O1140" s="1468"/>
    </row>
    <row r="1141" spans="11:15">
      <c r="K1141" s="1465">
        <v>43198</v>
      </c>
      <c r="L1141" s="1466"/>
      <c r="M1141" s="1467">
        <v>0</v>
      </c>
      <c r="N1141" s="1468">
        <v>1.4191390441520271</v>
      </c>
      <c r="O1141" s="1468"/>
    </row>
    <row r="1142" spans="11:15">
      <c r="K1142" s="1465">
        <v>43199</v>
      </c>
      <c r="L1142" s="1466" t="s">
        <v>2127</v>
      </c>
      <c r="M1142" s="1467">
        <v>2.462E-2</v>
      </c>
      <c r="N1142" s="1468">
        <v>1.4194884361846973</v>
      </c>
      <c r="O1142" s="1468"/>
    </row>
    <row r="1143" spans="11:15">
      <c r="K1143" s="1465">
        <v>43200</v>
      </c>
      <c r="L1143" s="1466" t="s">
        <v>2127</v>
      </c>
      <c r="M1143" s="1467">
        <v>2.462E-2</v>
      </c>
      <c r="N1143" s="1468">
        <v>1.419837914237686</v>
      </c>
      <c r="O1143" s="1468"/>
    </row>
    <row r="1144" spans="11:15">
      <c r="K1144" s="1465">
        <v>43201</v>
      </c>
      <c r="L1144" s="1466" t="s">
        <v>2127</v>
      </c>
      <c r="M1144" s="1467">
        <v>2.462E-2</v>
      </c>
      <c r="N1144" s="1468">
        <v>1.4201874783321715</v>
      </c>
      <c r="O1144" s="1468"/>
    </row>
    <row r="1145" spans="11:15">
      <c r="K1145" s="1465">
        <v>43202</v>
      </c>
      <c r="L1145" s="1466" t="s">
        <v>2127</v>
      </c>
      <c r="M1145" s="1467">
        <v>2.462E-2</v>
      </c>
      <c r="N1145" s="1468">
        <v>1.4205371284893371</v>
      </c>
      <c r="O1145" s="1468"/>
    </row>
    <row r="1146" spans="11:15">
      <c r="K1146" s="1465">
        <v>43203</v>
      </c>
      <c r="L1146" s="1466" t="s">
        <v>2127</v>
      </c>
      <c r="M1146" s="1467">
        <v>2.462E-2</v>
      </c>
      <c r="N1146" s="1468">
        <v>1.4208868647303714</v>
      </c>
      <c r="O1146" s="1468"/>
    </row>
    <row r="1147" spans="11:15">
      <c r="K1147" s="1465">
        <v>43204</v>
      </c>
      <c r="L1147" s="1466"/>
      <c r="M1147" s="1467">
        <v>0</v>
      </c>
      <c r="N1147" s="1468">
        <v>1.4208868647303714</v>
      </c>
      <c r="O1147" s="1468"/>
    </row>
    <row r="1148" spans="11:15">
      <c r="K1148" s="1465">
        <v>43205</v>
      </c>
      <c r="L1148" s="1466"/>
      <c r="M1148" s="1467">
        <v>0</v>
      </c>
      <c r="N1148" s="1468">
        <v>1.4208868647303714</v>
      </c>
      <c r="O1148" s="1468"/>
    </row>
    <row r="1149" spans="11:15">
      <c r="K1149" s="1465">
        <v>43206</v>
      </c>
      <c r="L1149" s="1466" t="s">
        <v>2127</v>
      </c>
      <c r="M1149" s="1467">
        <v>2.462E-2</v>
      </c>
      <c r="N1149" s="1468">
        <v>1.4212366870764681</v>
      </c>
      <c r="O1149" s="1468"/>
    </row>
    <row r="1150" spans="11:15">
      <c r="K1150" s="1465">
        <v>43207</v>
      </c>
      <c r="L1150" s="1466" t="s">
        <v>2127</v>
      </c>
      <c r="M1150" s="1467">
        <v>2.462E-2</v>
      </c>
      <c r="N1150" s="1468">
        <v>1.4215865955488265</v>
      </c>
      <c r="O1150" s="1468"/>
    </row>
    <row r="1151" spans="11:15">
      <c r="K1151" s="1465">
        <v>43208</v>
      </c>
      <c r="L1151" s="1466" t="s">
        <v>2127</v>
      </c>
      <c r="M1151" s="1467">
        <v>2.462E-2</v>
      </c>
      <c r="N1151" s="1468">
        <v>1.4219365901686507</v>
      </c>
      <c r="O1151" s="1468"/>
    </row>
    <row r="1152" spans="11:15">
      <c r="K1152" s="1465">
        <v>43209</v>
      </c>
      <c r="L1152" s="1466" t="s">
        <v>2127</v>
      </c>
      <c r="M1152" s="1467">
        <v>2.462E-2</v>
      </c>
      <c r="N1152" s="1468">
        <v>1.4222866709571504</v>
      </c>
      <c r="O1152" s="1468"/>
    </row>
    <row r="1153" spans="11:15">
      <c r="K1153" s="1465">
        <v>43210</v>
      </c>
      <c r="L1153" s="1466" t="s">
        <v>2127</v>
      </c>
      <c r="M1153" s="1467">
        <v>2.462E-2</v>
      </c>
      <c r="N1153" s="1468">
        <v>1.4226368379355403</v>
      </c>
      <c r="O1153" s="1468"/>
    </row>
    <row r="1154" spans="11:15">
      <c r="K1154" s="1465">
        <v>43211</v>
      </c>
      <c r="L1154" s="1466"/>
      <c r="M1154" s="1467">
        <v>0</v>
      </c>
      <c r="N1154" s="1468">
        <v>1.4226368379355403</v>
      </c>
      <c r="O1154" s="1468"/>
    </row>
    <row r="1155" spans="11:15">
      <c r="K1155" s="1465">
        <v>43212</v>
      </c>
      <c r="L1155" s="1466"/>
      <c r="M1155" s="1467">
        <v>0</v>
      </c>
      <c r="N1155" s="1468">
        <v>1.4226368379355403</v>
      </c>
      <c r="O1155" s="1468"/>
    </row>
    <row r="1156" spans="11:15">
      <c r="K1156" s="1465">
        <v>43213</v>
      </c>
      <c r="L1156" s="1466" t="s">
        <v>2127</v>
      </c>
      <c r="M1156" s="1467">
        <v>2.462E-2</v>
      </c>
      <c r="N1156" s="1468">
        <v>1.4229870911250402</v>
      </c>
      <c r="O1156" s="1468"/>
    </row>
    <row r="1157" spans="11:15">
      <c r="K1157" s="1465">
        <v>43214</v>
      </c>
      <c r="L1157" s="1466" t="s">
        <v>2127</v>
      </c>
      <c r="M1157" s="1467">
        <v>2.462E-2</v>
      </c>
      <c r="N1157" s="1468">
        <v>1.4233374305468753</v>
      </c>
      <c r="O1157" s="1468"/>
    </row>
    <row r="1158" spans="11:15">
      <c r="K1158" s="1465">
        <v>43215</v>
      </c>
      <c r="L1158" s="1466" t="s">
        <v>2127</v>
      </c>
      <c r="M1158" s="1467">
        <v>2.462E-2</v>
      </c>
      <c r="N1158" s="1468">
        <v>1.4236878562222761</v>
      </c>
      <c r="O1158" s="1468"/>
    </row>
    <row r="1159" spans="11:15">
      <c r="K1159" s="1465">
        <v>43216</v>
      </c>
      <c r="L1159" s="1466" t="s">
        <v>2127</v>
      </c>
      <c r="M1159" s="1467">
        <v>2.462E-2</v>
      </c>
      <c r="N1159" s="1468">
        <v>1.4240383681724782</v>
      </c>
      <c r="O1159" s="1468"/>
    </row>
    <row r="1160" spans="11:15">
      <c r="K1160" s="1465">
        <v>43217</v>
      </c>
      <c r="L1160" s="1466" t="s">
        <v>2127</v>
      </c>
      <c r="M1160" s="1467">
        <v>2.462E-2</v>
      </c>
      <c r="N1160" s="1468">
        <v>1.4243889664187224</v>
      </c>
      <c r="O1160" s="1468"/>
    </row>
    <row r="1161" spans="11:15">
      <c r="K1161" s="1465">
        <v>43218</v>
      </c>
      <c r="L1161" s="1466"/>
      <c r="M1161" s="1467">
        <v>0</v>
      </c>
      <c r="N1161" s="1468">
        <v>1.4243889664187224</v>
      </c>
      <c r="O1161" s="1468"/>
    </row>
    <row r="1162" spans="11:15">
      <c r="K1162" s="1465">
        <v>43219</v>
      </c>
      <c r="L1162" s="1466"/>
      <c r="M1162" s="1467">
        <v>0</v>
      </c>
      <c r="N1162" s="1468">
        <v>1.4243889664187224</v>
      </c>
      <c r="O1162" s="1468"/>
    </row>
    <row r="1163" spans="11:15">
      <c r="K1163" s="1465">
        <v>43220</v>
      </c>
      <c r="L1163" s="1466" t="s">
        <v>2127</v>
      </c>
      <c r="M1163" s="1467">
        <v>2.462E-2</v>
      </c>
      <c r="N1163" s="1468">
        <v>1.4247396509822547</v>
      </c>
      <c r="O1163" s="1468"/>
    </row>
    <row r="1164" spans="11:15">
      <c r="K1164" s="1465">
        <v>43221</v>
      </c>
      <c r="L1164" s="1466"/>
      <c r="M1164" s="1467">
        <v>0</v>
      </c>
      <c r="N1164" s="1468">
        <v>1.4247396509822547</v>
      </c>
      <c r="O1164" s="1468"/>
    </row>
    <row r="1165" spans="11:15">
      <c r="K1165" s="1465">
        <v>43222</v>
      </c>
      <c r="L1165" s="1466" t="s">
        <v>2127</v>
      </c>
      <c r="M1165" s="1467">
        <v>2.462E-2</v>
      </c>
      <c r="N1165" s="1468">
        <v>1.4250904218843268</v>
      </c>
      <c r="O1165" s="1468"/>
    </row>
    <row r="1166" spans="11:15">
      <c r="K1166" s="1465">
        <v>43223</v>
      </c>
      <c r="L1166" s="1466" t="s">
        <v>2127</v>
      </c>
      <c r="M1166" s="1467">
        <v>2.462E-2</v>
      </c>
      <c r="N1166" s="1468">
        <v>1.4254412791461948</v>
      </c>
      <c r="O1166" s="1468"/>
    </row>
    <row r="1167" spans="11:15">
      <c r="K1167" s="1465">
        <v>43224</v>
      </c>
      <c r="L1167" s="1466" t="s">
        <v>2127</v>
      </c>
      <c r="M1167" s="1467">
        <v>2.462E-2</v>
      </c>
      <c r="N1167" s="1468">
        <v>1.4257922227891207</v>
      </c>
      <c r="O1167" s="1468"/>
    </row>
    <row r="1168" spans="11:15">
      <c r="K1168" s="1465">
        <v>43225</v>
      </c>
      <c r="L1168" s="1466"/>
      <c r="M1168" s="1467">
        <v>0</v>
      </c>
      <c r="N1168" s="1468">
        <v>1.4257922227891207</v>
      </c>
      <c r="O1168" s="1468"/>
    </row>
    <row r="1169" spans="11:15">
      <c r="K1169" s="1465">
        <v>43226</v>
      </c>
      <c r="L1169" s="1466"/>
      <c r="M1169" s="1467">
        <v>0</v>
      </c>
      <c r="N1169" s="1468">
        <v>1.4257922227891207</v>
      </c>
      <c r="O1169" s="1468"/>
    </row>
    <row r="1170" spans="11:15">
      <c r="K1170" s="1465">
        <v>43227</v>
      </c>
      <c r="L1170" s="1466" t="s">
        <v>2127</v>
      </c>
      <c r="M1170" s="1467">
        <v>2.462E-2</v>
      </c>
      <c r="N1170" s="1468">
        <v>1.4261432528343714</v>
      </c>
      <c r="O1170" s="1468"/>
    </row>
    <row r="1171" spans="11:15">
      <c r="K1171" s="1465">
        <v>43228</v>
      </c>
      <c r="L1171" s="1466" t="s">
        <v>2127</v>
      </c>
      <c r="M1171" s="1467">
        <v>2.462E-2</v>
      </c>
      <c r="N1171" s="1468">
        <v>1.4264943693032193</v>
      </c>
      <c r="O1171" s="1468"/>
    </row>
    <row r="1172" spans="11:15">
      <c r="K1172" s="1465">
        <v>43229</v>
      </c>
      <c r="L1172" s="1466" t="s">
        <v>2127</v>
      </c>
      <c r="M1172" s="1467">
        <v>2.462E-2</v>
      </c>
      <c r="N1172" s="1468">
        <v>1.4268455722169417</v>
      </c>
      <c r="O1172" s="1468"/>
    </row>
    <row r="1173" spans="11:15">
      <c r="K1173" s="1465">
        <v>43230</v>
      </c>
      <c r="L1173" s="1466" t="s">
        <v>2127</v>
      </c>
      <c r="M1173" s="1467">
        <v>2.462E-2</v>
      </c>
      <c r="N1173" s="1468">
        <v>1.4271968615968216</v>
      </c>
      <c r="O1173" s="1468"/>
    </row>
    <row r="1174" spans="11:15">
      <c r="K1174" s="1465">
        <v>43231</v>
      </c>
      <c r="L1174" s="1466" t="s">
        <v>2127</v>
      </c>
      <c r="M1174" s="1467">
        <v>2.462E-2</v>
      </c>
      <c r="N1174" s="1468">
        <v>1.4275482374641468</v>
      </c>
      <c r="O1174" s="1468"/>
    </row>
    <row r="1175" spans="11:15">
      <c r="K1175" s="1465">
        <v>43232</v>
      </c>
      <c r="L1175" s="1466"/>
      <c r="M1175" s="1467">
        <v>0</v>
      </c>
      <c r="N1175" s="1468">
        <v>1.4275482374641468</v>
      </c>
      <c r="O1175" s="1468"/>
    </row>
    <row r="1176" spans="11:15">
      <c r="K1176" s="1465">
        <v>43233</v>
      </c>
      <c r="L1176" s="1466"/>
      <c r="M1176" s="1467">
        <v>0</v>
      </c>
      <c r="N1176" s="1468">
        <v>1.4275482374641468</v>
      </c>
      <c r="O1176" s="1468"/>
    </row>
    <row r="1177" spans="11:15">
      <c r="K1177" s="1465">
        <v>43234</v>
      </c>
      <c r="L1177" s="1466" t="s">
        <v>2127</v>
      </c>
      <c r="M1177" s="1467">
        <v>2.462E-2</v>
      </c>
      <c r="N1177" s="1468">
        <v>1.4278996998402107</v>
      </c>
      <c r="O1177" s="1468"/>
    </row>
    <row r="1178" spans="11:15">
      <c r="K1178" s="1465">
        <v>43235</v>
      </c>
      <c r="L1178" s="1466" t="s">
        <v>2127</v>
      </c>
      <c r="M1178" s="1467">
        <v>2.462E-2</v>
      </c>
      <c r="N1178" s="1468">
        <v>1.4282512487463115</v>
      </c>
      <c r="O1178" s="1468"/>
    </row>
    <row r="1179" spans="11:15">
      <c r="K1179" s="1465">
        <v>43236</v>
      </c>
      <c r="L1179" s="1466" t="s">
        <v>2127</v>
      </c>
      <c r="M1179" s="1467">
        <v>2.462E-2</v>
      </c>
      <c r="N1179" s="1468">
        <v>1.428602884203753</v>
      </c>
      <c r="O1179" s="1468"/>
    </row>
    <row r="1180" spans="11:15">
      <c r="K1180" s="1465">
        <v>43237</v>
      </c>
      <c r="L1180" s="1466" t="s">
        <v>2127</v>
      </c>
      <c r="M1180" s="1467">
        <v>2.462E-2</v>
      </c>
      <c r="N1180" s="1468">
        <v>1.4289546062338441</v>
      </c>
      <c r="O1180" s="1468"/>
    </row>
    <row r="1181" spans="11:15">
      <c r="K1181" s="1465">
        <v>43238</v>
      </c>
      <c r="L1181" s="1466" t="s">
        <v>2127</v>
      </c>
      <c r="M1181" s="1467">
        <v>2.462E-2</v>
      </c>
      <c r="N1181" s="1468">
        <v>1.4293064148578989</v>
      </c>
      <c r="O1181" s="1468"/>
    </row>
    <row r="1182" spans="11:15">
      <c r="K1182" s="1465">
        <v>43239</v>
      </c>
      <c r="L1182" s="1466"/>
      <c r="M1182" s="1467">
        <v>0</v>
      </c>
      <c r="N1182" s="1468">
        <v>1.4293064148578989</v>
      </c>
      <c r="O1182" s="1468"/>
    </row>
    <row r="1183" spans="11:15">
      <c r="K1183" s="1465">
        <v>43240</v>
      </c>
      <c r="L1183" s="1466"/>
      <c r="M1183" s="1467">
        <v>0</v>
      </c>
      <c r="N1183" s="1468">
        <v>1.4293064148578989</v>
      </c>
      <c r="O1183" s="1468"/>
    </row>
    <row r="1184" spans="11:15">
      <c r="K1184" s="1465">
        <v>43241</v>
      </c>
      <c r="L1184" s="1466" t="s">
        <v>2127</v>
      </c>
      <c r="M1184" s="1467">
        <v>2.462E-2</v>
      </c>
      <c r="N1184" s="1468">
        <v>1.4296583100972371</v>
      </c>
      <c r="O1184" s="1468"/>
    </row>
    <row r="1185" spans="11:15">
      <c r="K1185" s="1465">
        <v>43242</v>
      </c>
      <c r="L1185" s="1466" t="s">
        <v>2127</v>
      </c>
      <c r="M1185" s="1467">
        <v>2.462E-2</v>
      </c>
      <c r="N1185" s="1468">
        <v>1.4300102919731832</v>
      </c>
      <c r="O1185" s="1468"/>
    </row>
    <row r="1186" spans="11:15">
      <c r="K1186" s="1465">
        <v>43243</v>
      </c>
      <c r="L1186" s="1466" t="s">
        <v>2127</v>
      </c>
      <c r="M1186" s="1467">
        <v>2.462E-2</v>
      </c>
      <c r="N1186" s="1468">
        <v>1.430362360507067</v>
      </c>
      <c r="O1186" s="1468"/>
    </row>
    <row r="1187" spans="11:15">
      <c r="K1187" s="1465">
        <v>43244</v>
      </c>
      <c r="L1187" s="1466" t="s">
        <v>2127</v>
      </c>
      <c r="M1187" s="1467">
        <v>2.462E-2</v>
      </c>
      <c r="N1187" s="1468">
        <v>1.4307145157202239</v>
      </c>
      <c r="O1187" s="1468"/>
    </row>
    <row r="1188" spans="11:15">
      <c r="K1188" s="1465">
        <v>43245</v>
      </c>
      <c r="L1188" s="1466" t="s">
        <v>2127</v>
      </c>
      <c r="M1188" s="1467">
        <v>2.462E-2</v>
      </c>
      <c r="N1188" s="1468">
        <v>1.4310667576339944</v>
      </c>
      <c r="O1188" s="1468"/>
    </row>
    <row r="1189" spans="11:15">
      <c r="K1189" s="1465">
        <v>43246</v>
      </c>
      <c r="L1189" s="1466"/>
      <c r="M1189" s="1467">
        <v>0</v>
      </c>
      <c r="N1189" s="1468">
        <v>1.4310667576339944</v>
      </c>
      <c r="O1189" s="1468"/>
    </row>
    <row r="1190" spans="11:15">
      <c r="K1190" s="1465">
        <v>43247</v>
      </c>
      <c r="L1190" s="1466"/>
      <c r="M1190" s="1467">
        <v>0</v>
      </c>
      <c r="N1190" s="1468">
        <v>1.4310667576339944</v>
      </c>
      <c r="O1190" s="1468"/>
    </row>
    <row r="1191" spans="11:15">
      <c r="K1191" s="1465">
        <v>43248</v>
      </c>
      <c r="L1191" s="1466" t="s">
        <v>2127</v>
      </c>
      <c r="M1191" s="1467">
        <v>2.462E-2</v>
      </c>
      <c r="N1191" s="1468">
        <v>1.431419086269724</v>
      </c>
      <c r="O1191" s="1468"/>
    </row>
    <row r="1192" spans="11:15">
      <c r="K1192" s="1465">
        <v>43249</v>
      </c>
      <c r="L1192" s="1466" t="s">
        <v>2127</v>
      </c>
      <c r="M1192" s="1467">
        <v>2.462E-2</v>
      </c>
      <c r="N1192" s="1468">
        <v>1.4317715016487638</v>
      </c>
      <c r="O1192" s="1468"/>
    </row>
    <row r="1193" spans="11:15">
      <c r="K1193" s="1465">
        <v>43250</v>
      </c>
      <c r="L1193" s="1466" t="s">
        <v>2127</v>
      </c>
      <c r="M1193" s="1467">
        <v>2.462E-2</v>
      </c>
      <c r="N1193" s="1468">
        <v>1.4321240037924698</v>
      </c>
      <c r="O1193" s="1468"/>
    </row>
    <row r="1194" spans="11:15">
      <c r="K1194" s="1465">
        <v>43251</v>
      </c>
      <c r="L1194" s="1466"/>
      <c r="M1194" s="1467">
        <v>0</v>
      </c>
      <c r="N1194" s="1468">
        <v>1.4321240037924698</v>
      </c>
      <c r="O1194" s="1468"/>
    </row>
    <row r="1195" spans="11:15">
      <c r="K1195" s="1465">
        <v>43252</v>
      </c>
      <c r="L1195" s="1466" t="s">
        <v>2127</v>
      </c>
      <c r="M1195" s="1467">
        <v>2.462E-2</v>
      </c>
      <c r="N1195" s="1468">
        <v>1.4324765927222036</v>
      </c>
      <c r="O1195" s="1468"/>
    </row>
    <row r="1196" spans="11:15">
      <c r="K1196" s="1465">
        <v>43253</v>
      </c>
      <c r="L1196" s="1466"/>
      <c r="M1196" s="1467">
        <v>0</v>
      </c>
      <c r="N1196" s="1468">
        <v>1.4324765927222036</v>
      </c>
      <c r="O1196" s="1468"/>
    </row>
    <row r="1197" spans="11:15">
      <c r="K1197" s="1465">
        <v>43254</v>
      </c>
      <c r="L1197" s="1466"/>
      <c r="M1197" s="1467">
        <v>0</v>
      </c>
      <c r="N1197" s="1468">
        <v>1.4324765927222036</v>
      </c>
      <c r="O1197" s="1468"/>
    </row>
    <row r="1198" spans="11:15">
      <c r="K1198" s="1465">
        <v>43255</v>
      </c>
      <c r="L1198" s="1466" t="s">
        <v>2127</v>
      </c>
      <c r="M1198" s="1467">
        <v>2.462E-2</v>
      </c>
      <c r="N1198" s="1468">
        <v>1.432829268459332</v>
      </c>
      <c r="O1198" s="1468"/>
    </row>
    <row r="1199" spans="11:15">
      <c r="K1199" s="1465">
        <v>43256</v>
      </c>
      <c r="L1199" s="1466" t="s">
        <v>2127</v>
      </c>
      <c r="M1199" s="1467">
        <v>2.462E-2</v>
      </c>
      <c r="N1199" s="1468">
        <v>1.4331820310252268</v>
      </c>
      <c r="O1199" s="1468"/>
    </row>
    <row r="1200" spans="11:15">
      <c r="K1200" s="1465">
        <v>43257</v>
      </c>
      <c r="L1200" s="1466" t="s">
        <v>2127</v>
      </c>
      <c r="M1200" s="1467">
        <v>2.462E-2</v>
      </c>
      <c r="N1200" s="1468">
        <v>1.4335348804412653</v>
      </c>
      <c r="O1200" s="1468"/>
    </row>
    <row r="1201" spans="11:15">
      <c r="K1201" s="1465">
        <v>43258</v>
      </c>
      <c r="L1201" s="1466" t="s">
        <v>2127</v>
      </c>
      <c r="M1201" s="1467">
        <v>2.462E-2</v>
      </c>
      <c r="N1201" s="1468">
        <v>1.43388781672883</v>
      </c>
      <c r="O1201" s="1468"/>
    </row>
    <row r="1202" spans="11:15">
      <c r="K1202" s="1465">
        <v>43259</v>
      </c>
      <c r="L1202" s="1466" t="s">
        <v>2127</v>
      </c>
      <c r="M1202" s="1467">
        <v>2.462E-2</v>
      </c>
      <c r="N1202" s="1468">
        <v>1.4342408399093087</v>
      </c>
      <c r="O1202" s="1468"/>
    </row>
    <row r="1203" spans="11:15">
      <c r="K1203" s="1465">
        <v>43260</v>
      </c>
      <c r="L1203" s="1466"/>
      <c r="M1203" s="1467">
        <v>0</v>
      </c>
      <c r="N1203" s="1468">
        <v>1.4342408399093087</v>
      </c>
      <c r="O1203" s="1468"/>
    </row>
    <row r="1204" spans="11:15">
      <c r="K1204" s="1465">
        <v>43261</v>
      </c>
      <c r="L1204" s="1466"/>
      <c r="M1204" s="1467">
        <v>0</v>
      </c>
      <c r="N1204" s="1468">
        <v>1.4342408399093087</v>
      </c>
      <c r="O1204" s="1468"/>
    </row>
    <row r="1205" spans="11:15">
      <c r="K1205" s="1465">
        <v>43262</v>
      </c>
      <c r="L1205" s="1466" t="s">
        <v>2127</v>
      </c>
      <c r="M1205" s="1467">
        <v>2.462E-2</v>
      </c>
      <c r="N1205" s="1468">
        <v>1.4345939500040945</v>
      </c>
      <c r="O1205" s="1468"/>
    </row>
    <row r="1206" spans="11:15">
      <c r="K1206" s="1465">
        <v>43263</v>
      </c>
      <c r="L1206" s="1466" t="s">
        <v>2127</v>
      </c>
      <c r="M1206" s="1467">
        <v>2.462E-2</v>
      </c>
      <c r="N1206" s="1468">
        <v>1.4349471470345856</v>
      </c>
      <c r="O1206" s="1468"/>
    </row>
    <row r="1207" spans="11:15">
      <c r="K1207" s="1465">
        <v>43264</v>
      </c>
      <c r="L1207" s="1466" t="s">
        <v>2127</v>
      </c>
      <c r="M1207" s="1467">
        <v>2.462E-2</v>
      </c>
      <c r="N1207" s="1468">
        <v>1.4353004310221855</v>
      </c>
      <c r="O1207" s="1468"/>
    </row>
    <row r="1208" spans="11:15">
      <c r="K1208" s="1465">
        <v>43265</v>
      </c>
      <c r="L1208" s="1466" t="s">
        <v>2127</v>
      </c>
      <c r="M1208" s="1467">
        <v>2.462E-2</v>
      </c>
      <c r="N1208" s="1468">
        <v>1.4356538019883034</v>
      </c>
      <c r="O1208" s="1468"/>
    </row>
    <row r="1209" spans="11:15">
      <c r="K1209" s="1465">
        <v>43266</v>
      </c>
      <c r="L1209" s="1466" t="s">
        <v>2127</v>
      </c>
      <c r="M1209" s="1467">
        <v>2.462E-2</v>
      </c>
      <c r="N1209" s="1468">
        <v>1.436007259954353</v>
      </c>
      <c r="O1209" s="1468"/>
    </row>
    <row r="1210" spans="11:15">
      <c r="K1210" s="1465">
        <v>43267</v>
      </c>
      <c r="L1210" s="1466"/>
      <c r="M1210" s="1467">
        <v>0</v>
      </c>
      <c r="N1210" s="1468">
        <v>1.436007259954353</v>
      </c>
      <c r="O1210" s="1468"/>
    </row>
    <row r="1211" spans="11:15">
      <c r="K1211" s="1465">
        <v>43268</v>
      </c>
      <c r="L1211" s="1466"/>
      <c r="M1211" s="1467">
        <v>0</v>
      </c>
      <c r="N1211" s="1468">
        <v>1.436007259954353</v>
      </c>
      <c r="O1211" s="1468"/>
    </row>
    <row r="1212" spans="11:15">
      <c r="K1212" s="1465">
        <v>43269</v>
      </c>
      <c r="L1212" s="1466" t="s">
        <v>2127</v>
      </c>
      <c r="M1212" s="1467">
        <v>2.462E-2</v>
      </c>
      <c r="N1212" s="1468">
        <v>1.4363608049417538</v>
      </c>
      <c r="O1212" s="1468"/>
    </row>
    <row r="1213" spans="11:15">
      <c r="K1213" s="1465">
        <v>43270</v>
      </c>
      <c r="L1213" s="1466" t="s">
        <v>2127</v>
      </c>
      <c r="M1213" s="1467">
        <v>2.462E-2</v>
      </c>
      <c r="N1213" s="1468">
        <v>1.4367144369719305</v>
      </c>
      <c r="O1213" s="1468"/>
    </row>
    <row r="1214" spans="11:15">
      <c r="K1214" s="1465">
        <v>43271</v>
      </c>
      <c r="L1214" s="1466" t="s">
        <v>2127</v>
      </c>
      <c r="M1214" s="1467">
        <v>2.462E-2</v>
      </c>
      <c r="N1214" s="1468">
        <v>1.437068156066313</v>
      </c>
      <c r="O1214" s="1468"/>
    </row>
    <row r="1215" spans="11:15">
      <c r="K1215" s="1465">
        <v>43272</v>
      </c>
      <c r="L1215" s="1466" t="s">
        <v>2127</v>
      </c>
      <c r="M1215" s="1467">
        <v>2.462E-2</v>
      </c>
      <c r="N1215" s="1468">
        <v>1.4374219622463367</v>
      </c>
      <c r="O1215" s="1468"/>
    </row>
    <row r="1216" spans="11:15">
      <c r="K1216" s="1465">
        <v>43273</v>
      </c>
      <c r="L1216" s="1466" t="s">
        <v>2127</v>
      </c>
      <c r="M1216" s="1467">
        <v>2.462E-2</v>
      </c>
      <c r="N1216" s="1468">
        <v>1.4377758555334419</v>
      </c>
      <c r="O1216" s="1468"/>
    </row>
    <row r="1217" spans="11:15">
      <c r="K1217" s="1465">
        <v>43274</v>
      </c>
      <c r="L1217" s="1466"/>
      <c r="M1217" s="1467">
        <v>0</v>
      </c>
      <c r="N1217" s="1468">
        <v>1.4377758555334419</v>
      </c>
      <c r="O1217" s="1468"/>
    </row>
    <row r="1218" spans="11:15">
      <c r="K1218" s="1465">
        <v>43275</v>
      </c>
      <c r="L1218" s="1466"/>
      <c r="M1218" s="1467">
        <v>0</v>
      </c>
      <c r="N1218" s="1468">
        <v>1.4377758555334419</v>
      </c>
      <c r="O1218" s="1468"/>
    </row>
    <row r="1219" spans="11:15">
      <c r="K1219" s="1465">
        <v>43276</v>
      </c>
      <c r="L1219" s="1466" t="s">
        <v>2127</v>
      </c>
      <c r="M1219" s="1467">
        <v>2.462E-2</v>
      </c>
      <c r="N1219" s="1468">
        <v>1.4381298359490744</v>
      </c>
      <c r="O1219" s="1468"/>
    </row>
    <row r="1220" spans="11:15">
      <c r="K1220" s="1465">
        <v>43277</v>
      </c>
      <c r="L1220" s="1466" t="s">
        <v>2127</v>
      </c>
      <c r="M1220" s="1467">
        <v>2.462E-2</v>
      </c>
      <c r="N1220" s="1468">
        <v>1.4384839035146852</v>
      </c>
      <c r="O1220" s="1468"/>
    </row>
    <row r="1221" spans="11:15">
      <c r="K1221" s="1465">
        <v>43278</v>
      </c>
      <c r="L1221" s="1466" t="s">
        <v>2127</v>
      </c>
      <c r="M1221" s="1467">
        <v>2.462E-2</v>
      </c>
      <c r="N1221" s="1468">
        <v>1.4388380582517306</v>
      </c>
      <c r="O1221" s="1468"/>
    </row>
    <row r="1222" spans="11:15">
      <c r="K1222" s="1465">
        <v>43279</v>
      </c>
      <c r="L1222" s="1466" t="s">
        <v>2127</v>
      </c>
      <c r="M1222" s="1467">
        <v>2.462E-2</v>
      </c>
      <c r="N1222" s="1468">
        <v>1.4391923001816722</v>
      </c>
      <c r="O1222" s="1468"/>
    </row>
    <row r="1223" spans="11:15">
      <c r="K1223" s="1465">
        <v>43280</v>
      </c>
      <c r="L1223" s="1466" t="s">
        <v>2127</v>
      </c>
      <c r="M1223" s="1467">
        <v>2.462E-2</v>
      </c>
      <c r="N1223" s="1468">
        <v>1.4395466293259771</v>
      </c>
      <c r="O1223" s="1468"/>
    </row>
    <row r="1224" spans="11:15">
      <c r="K1224" s="1465">
        <v>43281</v>
      </c>
      <c r="L1224" s="1466"/>
      <c r="M1224" s="1467">
        <v>0</v>
      </c>
      <c r="N1224" s="1468">
        <v>1.4395466293259771</v>
      </c>
      <c r="O1224" s="1468"/>
    </row>
    <row r="1225" spans="11:15">
      <c r="K1225" s="1465">
        <v>43282</v>
      </c>
      <c r="L1225" s="1466"/>
      <c r="M1225" s="1467">
        <v>0</v>
      </c>
      <c r="N1225" s="1468">
        <v>1.4395466293259771</v>
      </c>
      <c r="O1225" s="1468"/>
    </row>
    <row r="1226" spans="11:15">
      <c r="K1226" s="1465">
        <v>43283</v>
      </c>
      <c r="L1226" s="1466" t="s">
        <v>2127</v>
      </c>
      <c r="M1226" s="1467">
        <v>2.462E-2</v>
      </c>
      <c r="N1226" s="1468">
        <v>1.4399010457061172</v>
      </c>
      <c r="O1226" s="1468"/>
    </row>
    <row r="1227" spans="11:15">
      <c r="K1227" s="1465">
        <v>43284</v>
      </c>
      <c r="L1227" s="1466" t="s">
        <v>2127</v>
      </c>
      <c r="M1227" s="1467">
        <v>2.462E-2</v>
      </c>
      <c r="N1227" s="1468">
        <v>1.4402555493435703</v>
      </c>
      <c r="O1227" s="1468"/>
    </row>
    <row r="1228" spans="11:15">
      <c r="K1228" s="1465">
        <v>43285</v>
      </c>
      <c r="L1228" s="1466" t="s">
        <v>2127</v>
      </c>
      <c r="M1228" s="1467">
        <v>2.462E-2</v>
      </c>
      <c r="N1228" s="1468">
        <v>1.4406101402598188</v>
      </c>
      <c r="O1228" s="1468"/>
    </row>
    <row r="1229" spans="11:15">
      <c r="K1229" s="1465">
        <v>43286</v>
      </c>
      <c r="L1229" s="1466" t="s">
        <v>2127</v>
      </c>
      <c r="M1229" s="1467">
        <v>2.462E-2</v>
      </c>
      <c r="N1229" s="1468">
        <v>1.4409648184763508</v>
      </c>
      <c r="O1229" s="1468"/>
    </row>
    <row r="1230" spans="11:15">
      <c r="K1230" s="1465">
        <v>43287</v>
      </c>
      <c r="L1230" s="1466" t="s">
        <v>2127</v>
      </c>
      <c r="M1230" s="1467">
        <v>2.462E-2</v>
      </c>
      <c r="N1230" s="1468">
        <v>1.4413195840146598</v>
      </c>
      <c r="O1230" s="1468"/>
    </row>
    <row r="1231" spans="11:15">
      <c r="K1231" s="1465">
        <v>43288</v>
      </c>
      <c r="L1231" s="1466"/>
      <c r="M1231" s="1467">
        <v>0</v>
      </c>
      <c r="N1231" s="1468">
        <v>1.4413195840146598</v>
      </c>
      <c r="O1231" s="1468"/>
    </row>
    <row r="1232" spans="11:15">
      <c r="K1232" s="1465">
        <v>43289</v>
      </c>
      <c r="L1232" s="1466"/>
      <c r="M1232" s="1467">
        <v>0</v>
      </c>
      <c r="N1232" s="1468">
        <v>1.4413195840146598</v>
      </c>
      <c r="O1232" s="1468"/>
    </row>
    <row r="1233" spans="11:15">
      <c r="K1233" s="1465">
        <v>43290</v>
      </c>
      <c r="L1233" s="1466" t="s">
        <v>2127</v>
      </c>
      <c r="M1233" s="1467">
        <v>2.462E-2</v>
      </c>
      <c r="N1233" s="1468">
        <v>1.4416744368962442</v>
      </c>
      <c r="O1233" s="1468"/>
    </row>
    <row r="1234" spans="11:15">
      <c r="K1234" s="1465">
        <v>43291</v>
      </c>
      <c r="L1234" s="1466" t="s">
        <v>2127</v>
      </c>
      <c r="M1234" s="1467">
        <v>2.462E-2</v>
      </c>
      <c r="N1234" s="1468">
        <v>1.4420293771426083</v>
      </c>
      <c r="O1234" s="1468"/>
    </row>
    <row r="1235" spans="11:15">
      <c r="K1235" s="1465">
        <v>43292</v>
      </c>
      <c r="L1235" s="1466" t="s">
        <v>2127</v>
      </c>
      <c r="M1235" s="1467">
        <v>2.462E-2</v>
      </c>
      <c r="N1235" s="1468">
        <v>1.442384404775261</v>
      </c>
      <c r="O1235" s="1468"/>
    </row>
    <row r="1236" spans="11:15">
      <c r="K1236" s="1465">
        <v>43293</v>
      </c>
      <c r="L1236" s="1466" t="s">
        <v>2127</v>
      </c>
      <c r="M1236" s="1467">
        <v>2.462E-2</v>
      </c>
      <c r="N1236" s="1468">
        <v>1.4427395198157167</v>
      </c>
      <c r="O1236" s="1468"/>
    </row>
    <row r="1237" spans="11:15">
      <c r="K1237" s="1465">
        <v>43294</v>
      </c>
      <c r="L1237" s="1466" t="s">
        <v>2127</v>
      </c>
      <c r="M1237" s="1467">
        <v>2.462E-2</v>
      </c>
      <c r="N1237" s="1468">
        <v>1.4430947222854955</v>
      </c>
      <c r="O1237" s="1468"/>
    </row>
    <row r="1238" spans="11:15">
      <c r="K1238" s="1465">
        <v>43295</v>
      </c>
      <c r="L1238" s="1466"/>
      <c r="M1238" s="1467">
        <v>0</v>
      </c>
      <c r="N1238" s="1468">
        <v>1.4430947222854955</v>
      </c>
      <c r="O1238" s="1468"/>
    </row>
    <row r="1239" spans="11:15">
      <c r="K1239" s="1465">
        <v>43296</v>
      </c>
      <c r="L1239" s="1466"/>
      <c r="M1239" s="1467">
        <v>0</v>
      </c>
      <c r="N1239" s="1468">
        <v>1.4430947222854955</v>
      </c>
      <c r="O1239" s="1468"/>
    </row>
    <row r="1240" spans="11:15">
      <c r="K1240" s="1465">
        <v>43297</v>
      </c>
      <c r="L1240" s="1466" t="s">
        <v>2127</v>
      </c>
      <c r="M1240" s="1467">
        <v>2.462E-2</v>
      </c>
      <c r="N1240" s="1468">
        <v>1.4434500122061222</v>
      </c>
      <c r="O1240" s="1468"/>
    </row>
    <row r="1241" spans="11:15">
      <c r="K1241" s="1465">
        <v>43298</v>
      </c>
      <c r="L1241" s="1466" t="s">
        <v>2127</v>
      </c>
      <c r="M1241" s="1467">
        <v>2.462E-2</v>
      </c>
      <c r="N1241" s="1468">
        <v>1.4438053895991274</v>
      </c>
      <c r="O1241" s="1468"/>
    </row>
    <row r="1242" spans="11:15">
      <c r="K1242" s="1465">
        <v>43299</v>
      </c>
      <c r="L1242" s="1466" t="s">
        <v>2127</v>
      </c>
      <c r="M1242" s="1467">
        <v>2.462E-2</v>
      </c>
      <c r="N1242" s="1468">
        <v>1.4441608544860469</v>
      </c>
      <c r="O1242" s="1468"/>
    </row>
    <row r="1243" spans="11:15">
      <c r="K1243" s="1465">
        <v>43300</v>
      </c>
      <c r="L1243" s="1466" t="s">
        <v>2127</v>
      </c>
      <c r="M1243" s="1467">
        <v>2.462E-2</v>
      </c>
      <c r="N1243" s="1468">
        <v>1.4445164068884215</v>
      </c>
      <c r="O1243" s="1468"/>
    </row>
    <row r="1244" spans="11:15">
      <c r="K1244" s="1465">
        <v>43301</v>
      </c>
      <c r="L1244" s="1466" t="s">
        <v>2127</v>
      </c>
      <c r="M1244" s="1467">
        <v>2.462E-2</v>
      </c>
      <c r="N1244" s="1468">
        <v>1.4448720468277976</v>
      </c>
      <c r="O1244" s="1468"/>
    </row>
    <row r="1245" spans="11:15">
      <c r="K1245" s="1465">
        <v>43302</v>
      </c>
      <c r="L1245" s="1466"/>
      <c r="M1245" s="1467">
        <v>0</v>
      </c>
      <c r="N1245" s="1468">
        <v>1.4448720468277976</v>
      </c>
      <c r="O1245" s="1468"/>
    </row>
    <row r="1246" spans="11:15">
      <c r="K1246" s="1465">
        <v>43303</v>
      </c>
      <c r="L1246" s="1466"/>
      <c r="M1246" s="1467">
        <v>0</v>
      </c>
      <c r="N1246" s="1468">
        <v>1.4448720468277976</v>
      </c>
      <c r="O1246" s="1468"/>
    </row>
    <row r="1247" spans="11:15">
      <c r="K1247" s="1465">
        <v>43304</v>
      </c>
      <c r="L1247" s="1466" t="s">
        <v>2127</v>
      </c>
      <c r="M1247" s="1467">
        <v>2.462E-2</v>
      </c>
      <c r="N1247" s="1468">
        <v>1.4452277743257267</v>
      </c>
      <c r="O1247" s="1468"/>
    </row>
    <row r="1248" spans="11:15">
      <c r="K1248" s="1465">
        <v>43305</v>
      </c>
      <c r="L1248" s="1466" t="s">
        <v>2127</v>
      </c>
      <c r="M1248" s="1467">
        <v>2.462E-2</v>
      </c>
      <c r="N1248" s="1468">
        <v>1.4455835894037659</v>
      </c>
      <c r="O1248" s="1468"/>
    </row>
    <row r="1249" spans="11:15">
      <c r="K1249" s="1465">
        <v>43306</v>
      </c>
      <c r="L1249" s="1466" t="s">
        <v>2127</v>
      </c>
      <c r="M1249" s="1467">
        <v>2.462E-2</v>
      </c>
      <c r="N1249" s="1468">
        <v>1.4459394920834772</v>
      </c>
      <c r="O1249" s="1468"/>
    </row>
    <row r="1250" spans="11:15">
      <c r="K1250" s="1465">
        <v>43307</v>
      </c>
      <c r="L1250" s="1466" t="s">
        <v>2127</v>
      </c>
      <c r="M1250" s="1467">
        <v>2.462E-2</v>
      </c>
      <c r="N1250" s="1468">
        <v>1.4462954823864282</v>
      </c>
      <c r="O1250" s="1468"/>
    </row>
    <row r="1251" spans="11:15">
      <c r="K1251" s="1465">
        <v>43308</v>
      </c>
      <c r="L1251" s="1466" t="s">
        <v>2127</v>
      </c>
      <c r="M1251" s="1467">
        <v>2.462E-2</v>
      </c>
      <c r="N1251" s="1468">
        <v>1.4466515603341918</v>
      </c>
      <c r="O1251" s="1468"/>
    </row>
    <row r="1252" spans="11:15">
      <c r="K1252" s="1465">
        <v>43309</v>
      </c>
      <c r="L1252" s="1466"/>
      <c r="M1252" s="1467">
        <v>0</v>
      </c>
      <c r="N1252" s="1468">
        <v>1.4466515603341918</v>
      </c>
      <c r="O1252" s="1468"/>
    </row>
    <row r="1253" spans="11:15">
      <c r="K1253" s="1465">
        <v>43310</v>
      </c>
      <c r="L1253" s="1466"/>
      <c r="M1253" s="1467">
        <v>0</v>
      </c>
      <c r="N1253" s="1468">
        <v>1.4466515603341918</v>
      </c>
      <c r="O1253" s="1468"/>
    </row>
    <row r="1254" spans="11:15">
      <c r="K1254" s="1465">
        <v>43311</v>
      </c>
      <c r="L1254" s="1466" t="s">
        <v>2127</v>
      </c>
      <c r="M1254" s="1467">
        <v>2.462E-2</v>
      </c>
      <c r="N1254" s="1468">
        <v>1.4470077259483463</v>
      </c>
      <c r="O1254" s="1468"/>
    </row>
    <row r="1255" spans="11:15">
      <c r="K1255" s="1465">
        <v>43312</v>
      </c>
      <c r="L1255" s="1466" t="s">
        <v>2127</v>
      </c>
      <c r="M1255" s="1467">
        <v>2.462E-2</v>
      </c>
      <c r="N1255" s="1468">
        <v>1.4473639792504749</v>
      </c>
      <c r="O1255" s="1468"/>
    </row>
    <row r="1256" spans="11:15">
      <c r="K1256" s="1465">
        <v>43313</v>
      </c>
      <c r="L1256" s="1466" t="s">
        <v>2127</v>
      </c>
      <c r="M1256" s="1467">
        <v>2.462E-2</v>
      </c>
      <c r="N1256" s="1468">
        <v>1.4477203202621665</v>
      </c>
      <c r="O1256" s="1468"/>
    </row>
    <row r="1257" spans="11:15">
      <c r="K1257" s="1465">
        <v>43314</v>
      </c>
      <c r="L1257" s="1466" t="s">
        <v>2127</v>
      </c>
      <c r="M1257" s="1467">
        <v>2.462E-2</v>
      </c>
      <c r="N1257" s="1468">
        <v>1.448076749005015</v>
      </c>
      <c r="O1257" s="1468"/>
    </row>
    <row r="1258" spans="11:15">
      <c r="K1258" s="1465">
        <v>43315</v>
      </c>
      <c r="L1258" s="1466" t="s">
        <v>2127</v>
      </c>
      <c r="M1258" s="1467">
        <v>2.462E-2</v>
      </c>
      <c r="N1258" s="1468">
        <v>1.4484332655006202</v>
      </c>
      <c r="O1258" s="1468"/>
    </row>
    <row r="1259" spans="11:15">
      <c r="K1259" s="1465">
        <v>43316</v>
      </c>
      <c r="L1259" s="1466"/>
      <c r="M1259" s="1467">
        <v>0</v>
      </c>
      <c r="N1259" s="1468">
        <v>1.4484332655006202</v>
      </c>
      <c r="O1259" s="1468"/>
    </row>
    <row r="1260" spans="11:15">
      <c r="K1260" s="1465">
        <v>43317</v>
      </c>
      <c r="L1260" s="1466"/>
      <c r="M1260" s="1467">
        <v>0</v>
      </c>
      <c r="N1260" s="1468">
        <v>1.4484332655006202</v>
      </c>
      <c r="O1260" s="1468"/>
    </row>
    <row r="1261" spans="11:15">
      <c r="K1261" s="1465">
        <v>43318</v>
      </c>
      <c r="L1261" s="1466" t="s">
        <v>2127</v>
      </c>
      <c r="M1261" s="1467">
        <v>2.462E-2</v>
      </c>
      <c r="N1261" s="1468">
        <v>1.4487898697705865</v>
      </c>
      <c r="O1261" s="1468"/>
    </row>
    <row r="1262" spans="11:15">
      <c r="K1262" s="1465">
        <v>43319</v>
      </c>
      <c r="L1262" s="1466" t="s">
        <v>2127</v>
      </c>
      <c r="M1262" s="1467">
        <v>2.462E-2</v>
      </c>
      <c r="N1262" s="1468">
        <v>1.4491465618365242</v>
      </c>
      <c r="O1262" s="1468"/>
    </row>
    <row r="1263" spans="11:15">
      <c r="K1263" s="1465">
        <v>43320</v>
      </c>
      <c r="L1263" s="1466" t="s">
        <v>2127</v>
      </c>
      <c r="M1263" s="1467">
        <v>2.462E-2</v>
      </c>
      <c r="N1263" s="1468">
        <v>1.4495033417200485</v>
      </c>
      <c r="O1263" s="1468"/>
    </row>
    <row r="1264" spans="11:15">
      <c r="K1264" s="1465">
        <v>43321</v>
      </c>
      <c r="L1264" s="1466" t="s">
        <v>2127</v>
      </c>
      <c r="M1264" s="1467">
        <v>2.462E-2</v>
      </c>
      <c r="N1264" s="1468">
        <v>1.4498602094427802</v>
      </c>
      <c r="O1264" s="1468"/>
    </row>
    <row r="1265" spans="11:15">
      <c r="K1265" s="1465">
        <v>43322</v>
      </c>
      <c r="L1265" s="1466" t="s">
        <v>2127</v>
      </c>
      <c r="M1265" s="1467">
        <v>2.462E-2</v>
      </c>
      <c r="N1265" s="1468">
        <v>1.4502171650263451</v>
      </c>
      <c r="O1265" s="1468"/>
    </row>
    <row r="1266" spans="11:15">
      <c r="K1266" s="1465">
        <v>43323</v>
      </c>
      <c r="L1266" s="1466"/>
      <c r="M1266" s="1467">
        <v>0</v>
      </c>
      <c r="N1266" s="1468">
        <v>1.4502171650263451</v>
      </c>
      <c r="O1266" s="1468"/>
    </row>
    <row r="1267" spans="11:15">
      <c r="K1267" s="1465">
        <v>43324</v>
      </c>
      <c r="L1267" s="1466"/>
      <c r="M1267" s="1467">
        <v>0</v>
      </c>
      <c r="N1267" s="1468">
        <v>1.4502171650263451</v>
      </c>
      <c r="O1267" s="1468"/>
    </row>
    <row r="1268" spans="11:15">
      <c r="K1268" s="1465">
        <v>43325</v>
      </c>
      <c r="L1268" s="1466" t="s">
        <v>2127</v>
      </c>
      <c r="M1268" s="1467">
        <v>2.462E-2</v>
      </c>
      <c r="N1268" s="1468">
        <v>1.4505742084923747</v>
      </c>
      <c r="O1268" s="1468"/>
    </row>
    <row r="1269" spans="11:15">
      <c r="K1269" s="1465">
        <v>43326</v>
      </c>
      <c r="L1269" s="1466" t="s">
        <v>2127</v>
      </c>
      <c r="M1269" s="1467">
        <v>2.462E-2</v>
      </c>
      <c r="N1269" s="1468">
        <v>1.4509313398625057</v>
      </c>
      <c r="O1269" s="1468"/>
    </row>
    <row r="1270" spans="11:15">
      <c r="K1270" s="1465">
        <v>43327</v>
      </c>
      <c r="L1270" s="1466" t="s">
        <v>2127</v>
      </c>
      <c r="M1270" s="1467">
        <v>2.462E-2</v>
      </c>
      <c r="N1270" s="1468">
        <v>1.45128855915838</v>
      </c>
      <c r="O1270" s="1468"/>
    </row>
    <row r="1271" spans="11:15">
      <c r="K1271" s="1465">
        <v>43328</v>
      </c>
      <c r="L1271" s="1466" t="s">
        <v>2127</v>
      </c>
      <c r="M1271" s="1467">
        <v>2.462E-2</v>
      </c>
      <c r="N1271" s="1468">
        <v>1.4516458664016449</v>
      </c>
      <c r="O1271" s="1468"/>
    </row>
    <row r="1272" spans="11:15">
      <c r="K1272" s="1465">
        <v>43329</v>
      </c>
      <c r="L1272" s="1466" t="s">
        <v>2127</v>
      </c>
      <c r="M1272" s="1467">
        <v>2.462E-2</v>
      </c>
      <c r="N1272" s="1468">
        <v>1.4520032616139531</v>
      </c>
      <c r="O1272" s="1468"/>
    </row>
    <row r="1273" spans="11:15">
      <c r="K1273" s="1465">
        <v>43330</v>
      </c>
      <c r="L1273" s="1466"/>
      <c r="M1273" s="1467">
        <v>0</v>
      </c>
      <c r="N1273" s="1468">
        <v>1.4520032616139531</v>
      </c>
      <c r="O1273" s="1468"/>
    </row>
    <row r="1274" spans="11:15">
      <c r="K1274" s="1465">
        <v>43331</v>
      </c>
      <c r="L1274" s="1466"/>
      <c r="M1274" s="1467">
        <v>0</v>
      </c>
      <c r="N1274" s="1468">
        <v>1.4520032616139531</v>
      </c>
      <c r="O1274" s="1468"/>
    </row>
    <row r="1275" spans="11:15">
      <c r="K1275" s="1465">
        <v>43332</v>
      </c>
      <c r="L1275" s="1466" t="s">
        <v>2127</v>
      </c>
      <c r="M1275" s="1467">
        <v>2.462E-2</v>
      </c>
      <c r="N1275" s="1468">
        <v>1.4523607448169626</v>
      </c>
      <c r="O1275" s="1468"/>
    </row>
    <row r="1276" spans="11:15">
      <c r="K1276" s="1465">
        <v>43333</v>
      </c>
      <c r="L1276" s="1466" t="s">
        <v>2127</v>
      </c>
      <c r="M1276" s="1467">
        <v>2.462E-2</v>
      </c>
      <c r="N1276" s="1468">
        <v>1.4527183160323367</v>
      </c>
      <c r="O1276" s="1468"/>
    </row>
    <row r="1277" spans="11:15">
      <c r="K1277" s="1465">
        <v>43334</v>
      </c>
      <c r="L1277" s="1466" t="s">
        <v>2127</v>
      </c>
      <c r="M1277" s="1467">
        <v>2.462E-2</v>
      </c>
      <c r="N1277" s="1468">
        <v>1.4530759752817439</v>
      </c>
      <c r="O1277" s="1468"/>
    </row>
    <row r="1278" spans="11:15">
      <c r="K1278" s="1465">
        <v>43335</v>
      </c>
      <c r="L1278" s="1466" t="s">
        <v>2127</v>
      </c>
      <c r="M1278" s="1467">
        <v>2.462E-2</v>
      </c>
      <c r="N1278" s="1468">
        <v>1.4534337225868583</v>
      </c>
      <c r="O1278" s="1468"/>
    </row>
    <row r="1279" spans="11:15">
      <c r="K1279" s="1465">
        <v>43336</v>
      </c>
      <c r="L1279" s="1466" t="s">
        <v>2127</v>
      </c>
      <c r="M1279" s="1467">
        <v>2.462E-2</v>
      </c>
      <c r="N1279" s="1468">
        <v>1.4537915579693594</v>
      </c>
      <c r="O1279" s="1468"/>
    </row>
    <row r="1280" spans="11:15">
      <c r="K1280" s="1465">
        <v>43337</v>
      </c>
      <c r="L1280" s="1466"/>
      <c r="M1280" s="1467">
        <v>0</v>
      </c>
      <c r="N1280" s="1468">
        <v>1.4537915579693594</v>
      </c>
      <c r="O1280" s="1468"/>
    </row>
    <row r="1281" spans="11:15">
      <c r="K1281" s="1465">
        <v>43338</v>
      </c>
      <c r="L1281" s="1466"/>
      <c r="M1281" s="1467">
        <v>0</v>
      </c>
      <c r="N1281" s="1468">
        <v>1.4537915579693594</v>
      </c>
      <c r="O1281" s="1468"/>
    </row>
    <row r="1282" spans="11:15">
      <c r="K1282" s="1465">
        <v>43339</v>
      </c>
      <c r="L1282" s="1466" t="s">
        <v>2127</v>
      </c>
      <c r="M1282" s="1467">
        <v>2.462E-2</v>
      </c>
      <c r="N1282" s="1468">
        <v>1.4541494814509317</v>
      </c>
      <c r="O1282" s="1468"/>
    </row>
    <row r="1283" spans="11:15">
      <c r="K1283" s="1465">
        <v>43340</v>
      </c>
      <c r="L1283" s="1466" t="s">
        <v>2127</v>
      </c>
      <c r="M1283" s="1467">
        <v>2.462E-2</v>
      </c>
      <c r="N1283" s="1468">
        <v>1.4545074930532651</v>
      </c>
      <c r="O1283" s="1468"/>
    </row>
    <row r="1284" spans="11:15">
      <c r="K1284" s="1465">
        <v>43341</v>
      </c>
      <c r="L1284" s="1466" t="s">
        <v>2127</v>
      </c>
      <c r="M1284" s="1467">
        <v>2.462E-2</v>
      </c>
      <c r="N1284" s="1468">
        <v>1.4548655927980549</v>
      </c>
      <c r="O1284" s="1468"/>
    </row>
    <row r="1285" spans="11:15">
      <c r="K1285" s="1465">
        <v>43342</v>
      </c>
      <c r="L1285" s="1466" t="s">
        <v>2127</v>
      </c>
      <c r="M1285" s="1467">
        <v>2.462E-2</v>
      </c>
      <c r="N1285" s="1468">
        <v>1.4552237807070019</v>
      </c>
      <c r="O1285" s="1468"/>
    </row>
    <row r="1286" spans="11:15">
      <c r="K1286" s="1465">
        <v>43343</v>
      </c>
      <c r="L1286" s="1466" t="s">
        <v>2127</v>
      </c>
      <c r="M1286" s="1467">
        <v>2.462E-2</v>
      </c>
      <c r="N1286" s="1468">
        <v>1.4555820568018121</v>
      </c>
      <c r="O1286" s="1468"/>
    </row>
    <row r="1287" spans="11:15">
      <c r="K1287" s="1465">
        <v>43344</v>
      </c>
      <c r="L1287" s="1466"/>
      <c r="M1287" s="1467">
        <v>0</v>
      </c>
      <c r="N1287" s="1468">
        <v>1.4555820568018121</v>
      </c>
      <c r="O1287" s="1468"/>
    </row>
    <row r="1288" spans="11:15">
      <c r="K1288" s="1465">
        <v>43345</v>
      </c>
      <c r="L1288" s="1466"/>
      <c r="M1288" s="1467">
        <v>0</v>
      </c>
      <c r="N1288" s="1468">
        <v>1.4555820568018121</v>
      </c>
      <c r="O1288" s="1468"/>
    </row>
    <row r="1289" spans="11:15">
      <c r="K1289" s="1465">
        <v>43346</v>
      </c>
      <c r="L1289" s="1466" t="s">
        <v>2127</v>
      </c>
      <c r="M1289" s="1467">
        <v>2.462E-2</v>
      </c>
      <c r="N1289" s="1468">
        <v>1.4559404211041969</v>
      </c>
      <c r="O1289" s="1468"/>
    </row>
    <row r="1290" spans="11:15">
      <c r="K1290" s="1465">
        <v>43347</v>
      </c>
      <c r="L1290" s="1466" t="s">
        <v>2127</v>
      </c>
      <c r="M1290" s="1467">
        <v>2.462E-2</v>
      </c>
      <c r="N1290" s="1468">
        <v>1.4562988736358728</v>
      </c>
      <c r="O1290" s="1468"/>
    </row>
    <row r="1291" spans="11:15">
      <c r="K1291" s="1465">
        <v>43348</v>
      </c>
      <c r="L1291" s="1466" t="s">
        <v>2127</v>
      </c>
      <c r="M1291" s="1467">
        <v>2.462E-2</v>
      </c>
      <c r="N1291" s="1468">
        <v>1.4566574144185622</v>
      </c>
      <c r="O1291" s="1468"/>
    </row>
    <row r="1292" spans="11:15">
      <c r="K1292" s="1465">
        <v>43349</v>
      </c>
      <c r="L1292" s="1466" t="s">
        <v>2127</v>
      </c>
      <c r="M1292" s="1467">
        <v>2.462E-2</v>
      </c>
      <c r="N1292" s="1468">
        <v>1.4570160434739923</v>
      </c>
      <c r="O1292" s="1468"/>
    </row>
    <row r="1293" spans="11:15">
      <c r="K1293" s="1465">
        <v>43350</v>
      </c>
      <c r="L1293" s="1466"/>
      <c r="M1293" s="1467">
        <v>0</v>
      </c>
      <c r="N1293" s="1468">
        <v>1.4570160434739923</v>
      </c>
      <c r="O1293" s="1468"/>
    </row>
    <row r="1294" spans="11:15">
      <c r="K1294" s="1465">
        <v>43351</v>
      </c>
      <c r="L1294" s="1466"/>
      <c r="M1294" s="1467">
        <v>0</v>
      </c>
      <c r="N1294" s="1468">
        <v>1.4570160434739923</v>
      </c>
      <c r="O1294" s="1468"/>
    </row>
    <row r="1295" spans="11:15">
      <c r="K1295" s="1465">
        <v>43352</v>
      </c>
      <c r="L1295" s="1466"/>
      <c r="M1295" s="1467">
        <v>0</v>
      </c>
      <c r="N1295" s="1468">
        <v>1.4570160434739923</v>
      </c>
      <c r="O1295" s="1468"/>
    </row>
    <row r="1296" spans="11:15">
      <c r="K1296" s="1465">
        <v>43353</v>
      </c>
      <c r="L1296" s="1466" t="s">
        <v>2127</v>
      </c>
      <c r="M1296" s="1467">
        <v>2.462E-2</v>
      </c>
      <c r="N1296" s="1468">
        <v>1.4573747608238956</v>
      </c>
      <c r="O1296" s="1468"/>
    </row>
    <row r="1297" spans="11:15">
      <c r="K1297" s="1465">
        <v>43354</v>
      </c>
      <c r="L1297" s="1466" t="s">
        <v>2127</v>
      </c>
      <c r="M1297" s="1467">
        <v>2.462E-2</v>
      </c>
      <c r="N1297" s="1468">
        <v>1.4577335664900106</v>
      </c>
      <c r="O1297" s="1468"/>
    </row>
    <row r="1298" spans="11:15">
      <c r="K1298" s="1465">
        <v>43355</v>
      </c>
      <c r="L1298" s="1466" t="s">
        <v>2127</v>
      </c>
      <c r="M1298" s="1467">
        <v>2.462E-2</v>
      </c>
      <c r="N1298" s="1468">
        <v>1.4580924604940806</v>
      </c>
      <c r="O1298" s="1468"/>
    </row>
    <row r="1299" spans="11:15">
      <c r="K1299" s="1465">
        <v>43356</v>
      </c>
      <c r="L1299" s="1466" t="s">
        <v>2127</v>
      </c>
      <c r="M1299" s="1467">
        <v>2.462E-2</v>
      </c>
      <c r="N1299" s="1468">
        <v>1.4584514428578543</v>
      </c>
      <c r="O1299" s="1468"/>
    </row>
    <row r="1300" spans="11:15">
      <c r="K1300" s="1465">
        <v>43357</v>
      </c>
      <c r="L1300" s="1466" t="s">
        <v>2127</v>
      </c>
      <c r="M1300" s="1467">
        <v>2.462E-2</v>
      </c>
      <c r="N1300" s="1468">
        <v>1.458810513603086</v>
      </c>
      <c r="O1300" s="1468"/>
    </row>
    <row r="1301" spans="11:15">
      <c r="K1301" s="1465">
        <v>43358</v>
      </c>
      <c r="L1301" s="1466"/>
      <c r="M1301" s="1467">
        <v>0</v>
      </c>
      <c r="N1301" s="1468">
        <v>1.458810513603086</v>
      </c>
      <c r="O1301" s="1468"/>
    </row>
    <row r="1302" spans="11:15">
      <c r="K1302" s="1465">
        <v>43359</v>
      </c>
      <c r="L1302" s="1466"/>
      <c r="M1302" s="1467">
        <v>0</v>
      </c>
      <c r="N1302" s="1468">
        <v>1.458810513603086</v>
      </c>
      <c r="O1302" s="1468"/>
    </row>
    <row r="1303" spans="11:15">
      <c r="K1303" s="1465">
        <v>43360</v>
      </c>
      <c r="L1303" s="1466" t="s">
        <v>2127</v>
      </c>
      <c r="M1303" s="1467">
        <v>2.462E-2</v>
      </c>
      <c r="N1303" s="1468">
        <v>1.4591696727515353</v>
      </c>
      <c r="O1303" s="1468"/>
    </row>
    <row r="1304" spans="11:15">
      <c r="K1304" s="1465">
        <v>43361</v>
      </c>
      <c r="L1304" s="1466" t="s">
        <v>2127</v>
      </c>
      <c r="M1304" s="1467">
        <v>2.462E-2</v>
      </c>
      <c r="N1304" s="1468">
        <v>1.4595289203249668</v>
      </c>
      <c r="O1304" s="1468"/>
    </row>
    <row r="1305" spans="11:15">
      <c r="K1305" s="1465">
        <v>43362</v>
      </c>
      <c r="L1305" s="1466" t="s">
        <v>2127</v>
      </c>
      <c r="M1305" s="1467">
        <v>2.462E-2</v>
      </c>
      <c r="N1305" s="1468">
        <v>1.459888256345151</v>
      </c>
      <c r="O1305" s="1468"/>
    </row>
    <row r="1306" spans="11:15">
      <c r="K1306" s="1465">
        <v>43363</v>
      </c>
      <c r="L1306" s="1466" t="s">
        <v>2127</v>
      </c>
      <c r="M1306" s="1467">
        <v>2.462E-2</v>
      </c>
      <c r="N1306" s="1468">
        <v>1.4602476808338634</v>
      </c>
      <c r="O1306" s="1468"/>
    </row>
    <row r="1307" spans="11:15">
      <c r="K1307" s="1465">
        <v>43364</v>
      </c>
      <c r="L1307" s="1466" t="s">
        <v>2127</v>
      </c>
      <c r="M1307" s="1467">
        <v>2.462E-2</v>
      </c>
      <c r="N1307" s="1468">
        <v>1.4606071938128848</v>
      </c>
      <c r="O1307" s="1468"/>
    </row>
    <row r="1308" spans="11:15">
      <c r="K1308" s="1465">
        <v>43365</v>
      </c>
      <c r="L1308" s="1466"/>
      <c r="M1308" s="1467">
        <v>0</v>
      </c>
      <c r="N1308" s="1468">
        <v>1.4606071938128848</v>
      </c>
      <c r="O1308" s="1468"/>
    </row>
    <row r="1309" spans="11:15">
      <c r="K1309" s="1465">
        <v>43366</v>
      </c>
      <c r="L1309" s="1466"/>
      <c r="M1309" s="1467">
        <v>0</v>
      </c>
      <c r="N1309" s="1468">
        <v>1.4606071938128848</v>
      </c>
      <c r="O1309" s="1468"/>
    </row>
    <row r="1310" spans="11:15">
      <c r="K1310" s="1465">
        <v>43367</v>
      </c>
      <c r="L1310" s="1466" t="s">
        <v>2127</v>
      </c>
      <c r="M1310" s="1467">
        <v>2.462E-2</v>
      </c>
      <c r="N1310" s="1468">
        <v>1.4609667953040018</v>
      </c>
      <c r="O1310" s="1468"/>
    </row>
    <row r="1311" spans="11:15">
      <c r="K1311" s="1465">
        <v>43368</v>
      </c>
      <c r="L1311" s="1466" t="s">
        <v>2127</v>
      </c>
      <c r="M1311" s="1467">
        <v>2.462E-2</v>
      </c>
      <c r="N1311" s="1468">
        <v>1.4613264853290058</v>
      </c>
      <c r="O1311" s="1468"/>
    </row>
    <row r="1312" spans="11:15">
      <c r="K1312" s="1465">
        <v>43369</v>
      </c>
      <c r="L1312" s="1466" t="s">
        <v>2127</v>
      </c>
      <c r="M1312" s="1467">
        <v>2.462E-2</v>
      </c>
      <c r="N1312" s="1468">
        <v>1.4616862639096939</v>
      </c>
      <c r="O1312" s="1468"/>
    </row>
    <row r="1313" spans="11:15">
      <c r="K1313" s="1465">
        <v>43370</v>
      </c>
      <c r="L1313" s="1466" t="s">
        <v>2127</v>
      </c>
      <c r="M1313" s="1467">
        <v>2.462E-2</v>
      </c>
      <c r="N1313" s="1468">
        <v>1.4620461310678685</v>
      </c>
      <c r="O1313" s="1468"/>
    </row>
    <row r="1314" spans="11:15">
      <c r="K1314" s="1465">
        <v>43371</v>
      </c>
      <c r="L1314" s="1466" t="s">
        <v>2127</v>
      </c>
      <c r="M1314" s="1467">
        <v>2.462E-2</v>
      </c>
      <c r="N1314" s="1468">
        <v>1.4624060868253375</v>
      </c>
      <c r="O1314" s="1468"/>
    </row>
    <row r="1315" spans="11:15">
      <c r="K1315" s="1465">
        <v>43372</v>
      </c>
      <c r="L1315" s="1466"/>
      <c r="M1315" s="1467">
        <v>0</v>
      </c>
      <c r="N1315" s="1468">
        <v>1.4624060868253375</v>
      </c>
      <c r="O1315" s="1468"/>
    </row>
    <row r="1316" spans="11:15">
      <c r="K1316" s="1465">
        <v>43373</v>
      </c>
      <c r="L1316" s="1466"/>
      <c r="M1316" s="1467">
        <v>0</v>
      </c>
      <c r="N1316" s="1468">
        <v>1.4624060868253375</v>
      </c>
      <c r="O1316" s="1468"/>
    </row>
    <row r="1317" spans="11:15">
      <c r="K1317" s="1465">
        <v>43374</v>
      </c>
      <c r="L1317" s="1466" t="s">
        <v>2127</v>
      </c>
      <c r="M1317" s="1467">
        <v>2.462E-2</v>
      </c>
      <c r="N1317" s="1468">
        <v>1.462766131203914</v>
      </c>
      <c r="O1317" s="1468"/>
    </row>
    <row r="1318" spans="11:15">
      <c r="K1318" s="1465">
        <v>43375</v>
      </c>
      <c r="L1318" s="1466" t="s">
        <v>2127</v>
      </c>
      <c r="M1318" s="1467">
        <v>2.462E-2</v>
      </c>
      <c r="N1318" s="1468">
        <v>1.4631262642254166</v>
      </c>
      <c r="O1318" s="1468"/>
    </row>
    <row r="1319" spans="11:15">
      <c r="K1319" s="1465">
        <v>43376</v>
      </c>
      <c r="L1319" s="1466" t="s">
        <v>2127</v>
      </c>
      <c r="M1319" s="1467">
        <v>2.462E-2</v>
      </c>
      <c r="N1319" s="1468">
        <v>1.463486485911669</v>
      </c>
      <c r="O1319" s="1468"/>
    </row>
    <row r="1320" spans="11:15">
      <c r="K1320" s="1465">
        <v>43377</v>
      </c>
      <c r="L1320" s="1466" t="s">
        <v>2127</v>
      </c>
      <c r="M1320" s="1467">
        <v>2.462E-2</v>
      </c>
      <c r="N1320" s="1468">
        <v>1.4638467962845005</v>
      </c>
      <c r="O1320" s="1468"/>
    </row>
    <row r="1321" spans="11:15">
      <c r="K1321" s="1465">
        <v>43378</v>
      </c>
      <c r="L1321" s="1466" t="s">
        <v>2127</v>
      </c>
      <c r="M1321" s="1467">
        <v>2.462E-2</v>
      </c>
      <c r="N1321" s="1468">
        <v>1.4642071953657458</v>
      </c>
      <c r="O1321" s="1468"/>
    </row>
    <row r="1322" spans="11:15">
      <c r="K1322" s="1465">
        <v>43379</v>
      </c>
      <c r="L1322" s="1466"/>
      <c r="M1322" s="1467">
        <v>0</v>
      </c>
      <c r="N1322" s="1468">
        <v>1.4642071953657458</v>
      </c>
      <c r="O1322" s="1468"/>
    </row>
    <row r="1323" spans="11:15">
      <c r="K1323" s="1465">
        <v>43380</v>
      </c>
      <c r="L1323" s="1466"/>
      <c r="M1323" s="1467">
        <v>0</v>
      </c>
      <c r="N1323" s="1468">
        <v>1.4642071953657458</v>
      </c>
      <c r="O1323" s="1468"/>
    </row>
    <row r="1324" spans="11:15">
      <c r="K1324" s="1465">
        <v>43381</v>
      </c>
      <c r="L1324" s="1466" t="s">
        <v>2127</v>
      </c>
      <c r="M1324" s="1467">
        <v>2.462E-2</v>
      </c>
      <c r="N1324" s="1468">
        <v>1.4645676831772449</v>
      </c>
      <c r="O1324" s="1468"/>
    </row>
    <row r="1325" spans="11:15">
      <c r="K1325" s="1465">
        <v>43382</v>
      </c>
      <c r="L1325" s="1466" t="s">
        <v>2127</v>
      </c>
      <c r="M1325" s="1467">
        <v>2.462E-2</v>
      </c>
      <c r="N1325" s="1468">
        <v>1.4649282597408433</v>
      </c>
      <c r="O1325" s="1468"/>
    </row>
    <row r="1326" spans="11:15">
      <c r="K1326" s="1465">
        <v>43383</v>
      </c>
      <c r="L1326" s="1466" t="s">
        <v>2127</v>
      </c>
      <c r="M1326" s="1467">
        <v>2.462E-2</v>
      </c>
      <c r="N1326" s="1468">
        <v>1.4652889250783916</v>
      </c>
      <c r="O1326" s="1468"/>
    </row>
    <row r="1327" spans="11:15">
      <c r="K1327" s="1465">
        <v>43384</v>
      </c>
      <c r="L1327" s="1466" t="s">
        <v>2127</v>
      </c>
      <c r="M1327" s="1467">
        <v>2.462E-2</v>
      </c>
      <c r="N1327" s="1468">
        <v>1.4656496792117459</v>
      </c>
      <c r="O1327" s="1468"/>
    </row>
    <row r="1328" spans="11:15">
      <c r="K1328" s="1465">
        <v>43385</v>
      </c>
      <c r="L1328" s="1466"/>
      <c r="M1328" s="1467">
        <v>0</v>
      </c>
      <c r="N1328" s="1468">
        <v>1.4656496792117459</v>
      </c>
      <c r="O1328" s="1468"/>
    </row>
    <row r="1329" spans="11:15">
      <c r="K1329" s="1465">
        <v>43386</v>
      </c>
      <c r="L1329" s="1466"/>
      <c r="M1329" s="1467">
        <v>0</v>
      </c>
      <c r="N1329" s="1468">
        <v>1.4656496792117459</v>
      </c>
      <c r="O1329" s="1468"/>
    </row>
    <row r="1330" spans="11:15">
      <c r="K1330" s="1465">
        <v>43387</v>
      </c>
      <c r="L1330" s="1466"/>
      <c r="M1330" s="1467">
        <v>0</v>
      </c>
      <c r="N1330" s="1468">
        <v>1.4656496792117459</v>
      </c>
      <c r="O1330" s="1468"/>
    </row>
    <row r="1331" spans="11:15">
      <c r="K1331" s="1465">
        <v>43388</v>
      </c>
      <c r="L1331" s="1466" t="s">
        <v>2127</v>
      </c>
      <c r="M1331" s="1467">
        <v>2.462E-2</v>
      </c>
      <c r="N1331" s="1468">
        <v>1.4660105221627679</v>
      </c>
      <c r="O1331" s="1468"/>
    </row>
    <row r="1332" spans="11:15">
      <c r="K1332" s="1465">
        <v>43389</v>
      </c>
      <c r="L1332" s="1466" t="s">
        <v>2127</v>
      </c>
      <c r="M1332" s="1467">
        <v>2.462E-2</v>
      </c>
      <c r="N1332" s="1468">
        <v>1.4663714539533246</v>
      </c>
      <c r="O1332" s="1468"/>
    </row>
    <row r="1333" spans="11:15">
      <c r="K1333" s="1465">
        <v>43390</v>
      </c>
      <c r="L1333" s="1466" t="s">
        <v>2127</v>
      </c>
      <c r="M1333" s="1467">
        <v>2.462E-2</v>
      </c>
      <c r="N1333" s="1468">
        <v>1.4667324746052881</v>
      </c>
      <c r="O1333" s="1468"/>
    </row>
    <row r="1334" spans="11:15">
      <c r="K1334" s="1465">
        <v>43391</v>
      </c>
      <c r="L1334" s="1466" t="s">
        <v>2127</v>
      </c>
      <c r="M1334" s="1467">
        <v>2.462E-2</v>
      </c>
      <c r="N1334" s="1468">
        <v>1.4670935841405361</v>
      </c>
      <c r="O1334" s="1468"/>
    </row>
    <row r="1335" spans="11:15">
      <c r="K1335" s="1465">
        <v>43392</v>
      </c>
      <c r="L1335" s="1466" t="s">
        <v>2127</v>
      </c>
      <c r="M1335" s="1467">
        <v>2.462E-2</v>
      </c>
      <c r="N1335" s="1468">
        <v>1.4674547825809516</v>
      </c>
      <c r="O1335" s="1468"/>
    </row>
    <row r="1336" spans="11:15">
      <c r="K1336" s="1465">
        <v>43393</v>
      </c>
      <c r="L1336" s="1466"/>
      <c r="M1336" s="1467">
        <v>0</v>
      </c>
      <c r="N1336" s="1468">
        <v>1.4674547825809516</v>
      </c>
      <c r="O1336" s="1468"/>
    </row>
    <row r="1337" spans="11:15">
      <c r="K1337" s="1465">
        <v>43394</v>
      </c>
      <c r="L1337" s="1466"/>
      <c r="M1337" s="1467">
        <v>0</v>
      </c>
      <c r="N1337" s="1468">
        <v>1.4674547825809516</v>
      </c>
      <c r="O1337" s="1468"/>
    </row>
    <row r="1338" spans="11:15">
      <c r="K1338" s="1465">
        <v>43395</v>
      </c>
      <c r="L1338" s="1466" t="s">
        <v>2127</v>
      </c>
      <c r="M1338" s="1467">
        <v>2.462E-2</v>
      </c>
      <c r="N1338" s="1468">
        <v>1.4678160699484233</v>
      </c>
      <c r="O1338" s="1468"/>
    </row>
    <row r="1339" spans="11:15">
      <c r="K1339" s="1465">
        <v>43396</v>
      </c>
      <c r="L1339" s="1466" t="s">
        <v>2127</v>
      </c>
      <c r="M1339" s="1467">
        <v>2.462E-2</v>
      </c>
      <c r="N1339" s="1468">
        <v>1.4681774462648447</v>
      </c>
      <c r="O1339" s="1468"/>
    </row>
    <row r="1340" spans="11:15">
      <c r="K1340" s="1465">
        <v>43397</v>
      </c>
      <c r="L1340" s="1466" t="s">
        <v>2127</v>
      </c>
      <c r="M1340" s="1467">
        <v>2.462E-2</v>
      </c>
      <c r="N1340" s="1468">
        <v>1.4685389115521152</v>
      </c>
      <c r="O1340" s="1468"/>
    </row>
    <row r="1341" spans="11:15">
      <c r="K1341" s="1465">
        <v>43398</v>
      </c>
      <c r="L1341" s="1466" t="s">
        <v>2127</v>
      </c>
      <c r="M1341" s="1467">
        <v>2.462E-2</v>
      </c>
      <c r="N1341" s="1468">
        <v>1.4689004658321394</v>
      </c>
      <c r="O1341" s="1468"/>
    </row>
    <row r="1342" spans="11:15">
      <c r="K1342" s="1465">
        <v>43399</v>
      </c>
      <c r="L1342" s="1466" t="s">
        <v>2127</v>
      </c>
      <c r="M1342" s="1467">
        <v>2.462E-2</v>
      </c>
      <c r="N1342" s="1468">
        <v>1.4692621091268274</v>
      </c>
      <c r="O1342" s="1468"/>
    </row>
    <row r="1343" spans="11:15">
      <c r="K1343" s="1465">
        <v>43400</v>
      </c>
      <c r="L1343" s="1466"/>
      <c r="M1343" s="1467">
        <v>0</v>
      </c>
      <c r="N1343" s="1468">
        <v>1.4692621091268274</v>
      </c>
      <c r="O1343" s="1468"/>
    </row>
    <row r="1344" spans="11:15">
      <c r="K1344" s="1465">
        <v>43401</v>
      </c>
      <c r="L1344" s="1466"/>
      <c r="M1344" s="1467">
        <v>0</v>
      </c>
      <c r="N1344" s="1468">
        <v>1.4692621091268274</v>
      </c>
      <c r="O1344" s="1468"/>
    </row>
    <row r="1345" spans="11:15">
      <c r="K1345" s="1465">
        <v>43402</v>
      </c>
      <c r="L1345" s="1466" t="s">
        <v>2127</v>
      </c>
      <c r="M1345" s="1467">
        <v>2.462E-2</v>
      </c>
      <c r="N1345" s="1468">
        <v>1.4696238414580947</v>
      </c>
      <c r="O1345" s="1468"/>
    </row>
    <row r="1346" spans="11:15">
      <c r="K1346" s="1465">
        <v>43403</v>
      </c>
      <c r="L1346" s="1466" t="s">
        <v>2127</v>
      </c>
      <c r="M1346" s="1467">
        <v>2.462E-2</v>
      </c>
      <c r="N1346" s="1468">
        <v>1.4699856628478618</v>
      </c>
      <c r="O1346" s="1468"/>
    </row>
    <row r="1347" spans="11:15">
      <c r="K1347" s="1465">
        <v>43404</v>
      </c>
      <c r="L1347" s="1466" t="s">
        <v>2127</v>
      </c>
      <c r="M1347" s="1467">
        <v>2.462E-2</v>
      </c>
      <c r="N1347" s="1468">
        <v>1.4703475733180551</v>
      </c>
      <c r="O1347" s="1468"/>
    </row>
    <row r="1348" spans="11:15">
      <c r="K1348" s="1465">
        <v>43405</v>
      </c>
      <c r="L1348" s="1466" t="s">
        <v>2127</v>
      </c>
      <c r="M1348" s="1467">
        <v>2.462E-2</v>
      </c>
      <c r="N1348" s="1468">
        <v>1.4707095728906061</v>
      </c>
      <c r="O1348" s="1468"/>
    </row>
    <row r="1349" spans="11:15">
      <c r="K1349" s="1465">
        <v>43406</v>
      </c>
      <c r="L1349" s="1466"/>
      <c r="M1349" s="1467">
        <v>0</v>
      </c>
      <c r="N1349" s="1468">
        <v>1.4707095728906061</v>
      </c>
      <c r="O1349" s="1468"/>
    </row>
    <row r="1350" spans="11:15">
      <c r="K1350" s="1465">
        <v>43407</v>
      </c>
      <c r="L1350" s="1466"/>
      <c r="M1350" s="1467">
        <v>0</v>
      </c>
      <c r="N1350" s="1468">
        <v>1.4707095728906061</v>
      </c>
      <c r="O1350" s="1468"/>
    </row>
    <row r="1351" spans="11:15">
      <c r="K1351" s="1465">
        <v>43408</v>
      </c>
      <c r="L1351" s="1466"/>
      <c r="M1351" s="1467">
        <v>0</v>
      </c>
      <c r="N1351" s="1468">
        <v>1.4707095728906061</v>
      </c>
      <c r="O1351" s="1468"/>
    </row>
    <row r="1352" spans="11:15">
      <c r="K1352" s="1465">
        <v>43409</v>
      </c>
      <c r="L1352" s="1466" t="s">
        <v>2127</v>
      </c>
      <c r="M1352" s="1467">
        <v>2.462E-2</v>
      </c>
      <c r="N1352" s="1468">
        <v>1.471071661587452</v>
      </c>
      <c r="O1352" s="1468"/>
    </row>
    <row r="1353" spans="11:15">
      <c r="K1353" s="1465">
        <v>43410</v>
      </c>
      <c r="L1353" s="1466" t="s">
        <v>2127</v>
      </c>
      <c r="M1353" s="1467">
        <v>2.462E-2</v>
      </c>
      <c r="N1353" s="1468">
        <v>1.4714338394305349</v>
      </c>
      <c r="O1353" s="1468"/>
    </row>
    <row r="1354" spans="11:15">
      <c r="K1354" s="1465">
        <v>43411</v>
      </c>
      <c r="L1354" s="1466" t="s">
        <v>2127</v>
      </c>
      <c r="M1354" s="1467">
        <v>2.462E-2</v>
      </c>
      <c r="N1354" s="1468">
        <v>1.4717961064418028</v>
      </c>
      <c r="O1354" s="1468"/>
    </row>
    <row r="1355" spans="11:15">
      <c r="K1355" s="1465">
        <v>43412</v>
      </c>
      <c r="L1355" s="1466" t="s">
        <v>2127</v>
      </c>
      <c r="M1355" s="1467">
        <v>2.462E-2</v>
      </c>
      <c r="N1355" s="1468">
        <v>1.4721584626432089</v>
      </c>
      <c r="O1355" s="1468"/>
    </row>
    <row r="1356" spans="11:15">
      <c r="K1356" s="1465">
        <v>43413</v>
      </c>
      <c r="L1356" s="1466" t="s">
        <v>2127</v>
      </c>
      <c r="M1356" s="1467">
        <v>2.462E-2</v>
      </c>
      <c r="N1356" s="1468">
        <v>1.4725209080567119</v>
      </c>
      <c r="O1356" s="1468"/>
    </row>
    <row r="1357" spans="11:15">
      <c r="K1357" s="1465">
        <v>43414</v>
      </c>
      <c r="L1357" s="1466"/>
      <c r="M1357" s="1467">
        <v>0</v>
      </c>
      <c r="N1357" s="1468">
        <v>1.4725209080567119</v>
      </c>
      <c r="O1357" s="1468"/>
    </row>
    <row r="1358" spans="11:15">
      <c r="K1358" s="1465">
        <v>43415</v>
      </c>
      <c r="L1358" s="1466"/>
      <c r="M1358" s="1467">
        <v>0</v>
      </c>
      <c r="N1358" s="1468">
        <v>1.4725209080567119</v>
      </c>
      <c r="O1358" s="1468"/>
    </row>
    <row r="1359" spans="11:15">
      <c r="K1359" s="1465">
        <v>43416</v>
      </c>
      <c r="L1359" s="1466" t="s">
        <v>2127</v>
      </c>
      <c r="M1359" s="1467">
        <v>2.462E-2</v>
      </c>
      <c r="N1359" s="1468">
        <v>1.4728834427042756</v>
      </c>
      <c r="O1359" s="1468"/>
    </row>
    <row r="1360" spans="11:15">
      <c r="K1360" s="1465">
        <v>43417</v>
      </c>
      <c r="L1360" s="1466" t="s">
        <v>2127</v>
      </c>
      <c r="M1360" s="1467">
        <v>2.462E-2</v>
      </c>
      <c r="N1360" s="1468">
        <v>1.4732460666078695</v>
      </c>
      <c r="O1360" s="1468"/>
    </row>
    <row r="1361" spans="11:15">
      <c r="K1361" s="1465">
        <v>43418</v>
      </c>
      <c r="L1361" s="1466" t="s">
        <v>2127</v>
      </c>
      <c r="M1361" s="1467">
        <v>2.462E-2</v>
      </c>
      <c r="N1361" s="1468">
        <v>1.4736087797894686</v>
      </c>
      <c r="O1361" s="1468"/>
    </row>
    <row r="1362" spans="11:15">
      <c r="K1362" s="1465">
        <v>43419</v>
      </c>
      <c r="L1362" s="1466"/>
      <c r="M1362" s="1467">
        <v>0</v>
      </c>
      <c r="N1362" s="1468">
        <v>1.4736087797894686</v>
      </c>
      <c r="O1362" s="1468"/>
    </row>
    <row r="1363" spans="11:15">
      <c r="K1363" s="1465">
        <v>43420</v>
      </c>
      <c r="L1363" s="1466" t="s">
        <v>2127</v>
      </c>
      <c r="M1363" s="1467">
        <v>2.462E-2</v>
      </c>
      <c r="N1363" s="1468">
        <v>1.4739715822710528</v>
      </c>
      <c r="O1363" s="1468"/>
    </row>
    <row r="1364" spans="11:15">
      <c r="K1364" s="1465">
        <v>43421</v>
      </c>
      <c r="L1364" s="1466"/>
      <c r="M1364" s="1467">
        <v>0</v>
      </c>
      <c r="N1364" s="1468">
        <v>1.4739715822710528</v>
      </c>
      <c r="O1364" s="1468"/>
    </row>
    <row r="1365" spans="11:15">
      <c r="K1365" s="1465">
        <v>43422</v>
      </c>
      <c r="L1365" s="1466"/>
      <c r="M1365" s="1467">
        <v>0</v>
      </c>
      <c r="N1365" s="1468">
        <v>1.4739715822710528</v>
      </c>
      <c r="O1365" s="1468"/>
    </row>
    <row r="1366" spans="11:15">
      <c r="K1366" s="1465">
        <v>43423</v>
      </c>
      <c r="L1366" s="1466" t="s">
        <v>2127</v>
      </c>
      <c r="M1366" s="1467">
        <v>2.462E-2</v>
      </c>
      <c r="N1366" s="1468">
        <v>1.474334474074608</v>
      </c>
      <c r="O1366" s="1468"/>
    </row>
    <row r="1367" spans="11:15">
      <c r="K1367" s="1465">
        <v>43424</v>
      </c>
      <c r="L1367" s="1466" t="s">
        <v>2127</v>
      </c>
      <c r="M1367" s="1467">
        <v>2.462E-2</v>
      </c>
      <c r="N1367" s="1468">
        <v>1.4746974552221253</v>
      </c>
      <c r="O1367" s="1468"/>
    </row>
    <row r="1368" spans="11:15">
      <c r="K1368" s="1465">
        <v>43425</v>
      </c>
      <c r="L1368" s="1466" t="s">
        <v>2127</v>
      </c>
      <c r="M1368" s="1467">
        <v>2.462E-2</v>
      </c>
      <c r="N1368" s="1468">
        <v>1.4750605257356011</v>
      </c>
      <c r="O1368" s="1468"/>
    </row>
    <row r="1369" spans="11:15">
      <c r="K1369" s="1465">
        <v>43426</v>
      </c>
      <c r="L1369" s="1466" t="s">
        <v>2127</v>
      </c>
      <c r="M1369" s="1467">
        <v>2.462E-2</v>
      </c>
      <c r="N1369" s="1468">
        <v>1.4754236856370373</v>
      </c>
      <c r="O1369" s="1468"/>
    </row>
    <row r="1370" spans="11:15">
      <c r="K1370" s="1465">
        <v>43427</v>
      </c>
      <c r="L1370" s="1466" t="s">
        <v>2127</v>
      </c>
      <c r="M1370" s="1467">
        <v>2.462E-2</v>
      </c>
      <c r="N1370" s="1468">
        <v>1.4757869349484412</v>
      </c>
      <c r="O1370" s="1468"/>
    </row>
    <row r="1371" spans="11:15">
      <c r="K1371" s="1465">
        <v>43428</v>
      </c>
      <c r="L1371" s="1466"/>
      <c r="M1371" s="1467">
        <v>0</v>
      </c>
      <c r="N1371" s="1468">
        <v>1.4757869349484412</v>
      </c>
      <c r="O1371" s="1468"/>
    </row>
    <row r="1372" spans="11:15">
      <c r="K1372" s="1465">
        <v>43429</v>
      </c>
      <c r="L1372" s="1466"/>
      <c r="M1372" s="1467">
        <v>0</v>
      </c>
      <c r="N1372" s="1468">
        <v>1.4757869349484412</v>
      </c>
      <c r="O1372" s="1468"/>
    </row>
    <row r="1373" spans="11:15">
      <c r="K1373" s="1465">
        <v>43430</v>
      </c>
      <c r="L1373" s="1466" t="s">
        <v>2127</v>
      </c>
      <c r="M1373" s="1467">
        <v>2.462E-2</v>
      </c>
      <c r="N1373" s="1468">
        <v>1.4761502736918255</v>
      </c>
      <c r="O1373" s="1468"/>
    </row>
    <row r="1374" spans="11:15">
      <c r="K1374" s="1465">
        <v>43431</v>
      </c>
      <c r="L1374" s="1466" t="s">
        <v>2127</v>
      </c>
      <c r="M1374" s="1467">
        <v>2.462E-2</v>
      </c>
      <c r="N1374" s="1468">
        <v>1.4765137018892085</v>
      </c>
      <c r="O1374" s="1468"/>
    </row>
    <row r="1375" spans="11:15">
      <c r="K1375" s="1465">
        <v>43432</v>
      </c>
      <c r="L1375" s="1466" t="s">
        <v>2127</v>
      </c>
      <c r="M1375" s="1467">
        <v>2.462E-2</v>
      </c>
      <c r="N1375" s="1468">
        <v>1.4768772195626136</v>
      </c>
      <c r="O1375" s="1468"/>
    </row>
    <row r="1376" spans="11:15">
      <c r="K1376" s="1465">
        <v>43433</v>
      </c>
      <c r="L1376" s="1466" t="s">
        <v>2127</v>
      </c>
      <c r="M1376" s="1467">
        <v>2.462E-2</v>
      </c>
      <c r="N1376" s="1468">
        <v>1.47724082673407</v>
      </c>
      <c r="O1376" s="1468"/>
    </row>
    <row r="1377" spans="11:15">
      <c r="K1377" s="1465">
        <v>43434</v>
      </c>
      <c r="L1377" s="1466" t="s">
        <v>2127</v>
      </c>
      <c r="M1377" s="1467">
        <v>2.462E-2</v>
      </c>
      <c r="N1377" s="1468">
        <v>1.4776045234256121</v>
      </c>
      <c r="O1377" s="1468"/>
    </row>
    <row r="1378" spans="11:15">
      <c r="K1378" s="1465">
        <v>43435</v>
      </c>
      <c r="L1378" s="1466"/>
      <c r="M1378" s="1467">
        <v>0</v>
      </c>
      <c r="N1378" s="1468">
        <v>1.4776045234256121</v>
      </c>
      <c r="O1378" s="1468"/>
    </row>
    <row r="1379" spans="11:15">
      <c r="K1379" s="1465">
        <v>43436</v>
      </c>
      <c r="L1379" s="1466"/>
      <c r="M1379" s="1467">
        <v>0</v>
      </c>
      <c r="N1379" s="1468">
        <v>1.4776045234256121</v>
      </c>
      <c r="O1379" s="1468"/>
    </row>
    <row r="1380" spans="11:15">
      <c r="K1380" s="1465">
        <v>43437</v>
      </c>
      <c r="L1380" s="1466" t="s">
        <v>2127</v>
      </c>
      <c r="M1380" s="1467">
        <v>2.462E-2</v>
      </c>
      <c r="N1380" s="1468">
        <v>1.4779683096592797</v>
      </c>
      <c r="O1380" s="1468"/>
    </row>
    <row r="1381" spans="11:15">
      <c r="K1381" s="1465">
        <v>43438</v>
      </c>
      <c r="L1381" s="1466" t="s">
        <v>2127</v>
      </c>
      <c r="M1381" s="1467">
        <v>2.462E-2</v>
      </c>
      <c r="N1381" s="1468">
        <v>1.4783321854571179</v>
      </c>
      <c r="O1381" s="1468"/>
    </row>
    <row r="1382" spans="11:15">
      <c r="K1382" s="1465">
        <v>43439</v>
      </c>
      <c r="L1382" s="1466" t="s">
        <v>2127</v>
      </c>
      <c r="M1382" s="1467">
        <v>2.462E-2</v>
      </c>
      <c r="N1382" s="1468">
        <v>1.4786961508411776</v>
      </c>
      <c r="O1382" s="1468"/>
    </row>
    <row r="1383" spans="11:15">
      <c r="K1383" s="1465">
        <v>43440</v>
      </c>
      <c r="L1383" s="1466" t="s">
        <v>2127</v>
      </c>
      <c r="M1383" s="1467">
        <v>2.462E-2</v>
      </c>
      <c r="N1383" s="1468">
        <v>1.4790602058335147</v>
      </c>
      <c r="O1383" s="1468"/>
    </row>
    <row r="1384" spans="11:15">
      <c r="K1384" s="1465">
        <v>43441</v>
      </c>
      <c r="L1384" s="1466" t="s">
        <v>2127</v>
      </c>
      <c r="M1384" s="1467">
        <v>2.462E-2</v>
      </c>
      <c r="N1384" s="1468">
        <v>1.479424350456191</v>
      </c>
      <c r="O1384" s="1468"/>
    </row>
    <row r="1385" spans="11:15">
      <c r="K1385" s="1465">
        <v>43442</v>
      </c>
      <c r="L1385" s="1466"/>
      <c r="M1385" s="1467">
        <v>0</v>
      </c>
      <c r="N1385" s="1468">
        <v>1.479424350456191</v>
      </c>
      <c r="O1385" s="1468"/>
    </row>
    <row r="1386" spans="11:15">
      <c r="K1386" s="1465">
        <v>43443</v>
      </c>
      <c r="L1386" s="1466"/>
      <c r="M1386" s="1467">
        <v>0</v>
      </c>
      <c r="N1386" s="1468">
        <v>1.479424350456191</v>
      </c>
      <c r="O1386" s="1468"/>
    </row>
    <row r="1387" spans="11:15">
      <c r="K1387" s="1465">
        <v>43444</v>
      </c>
      <c r="L1387" s="1466" t="s">
        <v>2127</v>
      </c>
      <c r="M1387" s="1467">
        <v>2.462E-2</v>
      </c>
      <c r="N1387" s="1468">
        <v>1.4797885847312735</v>
      </c>
      <c r="O1387" s="1468"/>
    </row>
    <row r="1388" spans="11:15">
      <c r="K1388" s="1465">
        <v>43445</v>
      </c>
      <c r="L1388" s="1466" t="s">
        <v>2127</v>
      </c>
      <c r="M1388" s="1467">
        <v>2.462E-2</v>
      </c>
      <c r="N1388" s="1468">
        <v>1.4801529086808345</v>
      </c>
      <c r="O1388" s="1468"/>
    </row>
    <row r="1389" spans="11:15">
      <c r="K1389" s="1465">
        <v>43446</v>
      </c>
      <c r="L1389" s="1466" t="s">
        <v>2127</v>
      </c>
      <c r="M1389" s="1467">
        <v>2.462E-2</v>
      </c>
      <c r="N1389" s="1468">
        <v>1.4805173223269519</v>
      </c>
      <c r="O1389" s="1468"/>
    </row>
    <row r="1390" spans="11:15">
      <c r="K1390" s="1465">
        <v>43447</v>
      </c>
      <c r="L1390" s="1466" t="s">
        <v>2127</v>
      </c>
      <c r="M1390" s="1467">
        <v>2.462E-2</v>
      </c>
      <c r="N1390" s="1468">
        <v>1.4808818256917089</v>
      </c>
      <c r="O1390" s="1468"/>
    </row>
    <row r="1391" spans="11:15">
      <c r="K1391" s="1465">
        <v>43448</v>
      </c>
      <c r="L1391" s="1466" t="s">
        <v>2127</v>
      </c>
      <c r="M1391" s="1467">
        <v>2.462E-2</v>
      </c>
      <c r="N1391" s="1468">
        <v>1.4812464187971943</v>
      </c>
      <c r="O1391" s="1468"/>
    </row>
    <row r="1392" spans="11:15">
      <c r="K1392" s="1465">
        <v>43449</v>
      </c>
      <c r="L1392" s="1466"/>
      <c r="M1392" s="1467">
        <v>0</v>
      </c>
      <c r="N1392" s="1468">
        <v>1.4812464187971943</v>
      </c>
      <c r="O1392" s="1468"/>
    </row>
    <row r="1393" spans="11:15">
      <c r="K1393" s="1465">
        <v>43450</v>
      </c>
      <c r="L1393" s="1466"/>
      <c r="M1393" s="1467">
        <v>0</v>
      </c>
      <c r="N1393" s="1468">
        <v>1.4812464187971943</v>
      </c>
      <c r="O1393" s="1468"/>
    </row>
    <row r="1394" spans="11:15">
      <c r="K1394" s="1465">
        <v>43451</v>
      </c>
      <c r="L1394" s="1466" t="s">
        <v>2127</v>
      </c>
      <c r="M1394" s="1467">
        <v>2.462E-2</v>
      </c>
      <c r="N1394" s="1468">
        <v>1.4816111016655023</v>
      </c>
      <c r="O1394" s="1468"/>
    </row>
    <row r="1395" spans="11:15">
      <c r="K1395" s="1465">
        <v>43452</v>
      </c>
      <c r="L1395" s="1466" t="s">
        <v>2127</v>
      </c>
      <c r="M1395" s="1467">
        <v>2.462E-2</v>
      </c>
      <c r="N1395" s="1468">
        <v>1.4819758743187323</v>
      </c>
      <c r="O1395" s="1468"/>
    </row>
    <row r="1396" spans="11:15">
      <c r="K1396" s="1465">
        <v>43453</v>
      </c>
      <c r="L1396" s="1466" t="s">
        <v>2127</v>
      </c>
      <c r="M1396" s="1467">
        <v>2.462E-2</v>
      </c>
      <c r="N1396" s="1468">
        <v>1.4823407367789898</v>
      </c>
      <c r="O1396" s="1468"/>
    </row>
    <row r="1397" spans="11:15">
      <c r="K1397" s="1465">
        <v>43454</v>
      </c>
      <c r="L1397" s="1466" t="s">
        <v>2127</v>
      </c>
      <c r="M1397" s="1467">
        <v>2.462E-2</v>
      </c>
      <c r="N1397" s="1468">
        <v>1.482705689068385</v>
      </c>
      <c r="O1397" s="1468"/>
    </row>
    <row r="1398" spans="11:15">
      <c r="K1398" s="1465">
        <v>43455</v>
      </c>
      <c r="L1398" s="1466" t="s">
        <v>2127</v>
      </c>
      <c r="M1398" s="1467">
        <v>2.462E-2</v>
      </c>
      <c r="N1398" s="1468">
        <v>1.4830707312090337</v>
      </c>
      <c r="O1398" s="1468"/>
    </row>
    <row r="1399" spans="11:15">
      <c r="K1399" s="1465">
        <v>43456</v>
      </c>
      <c r="L1399" s="1466"/>
      <c r="M1399" s="1467">
        <v>0</v>
      </c>
      <c r="N1399" s="1468">
        <v>1.4830707312090337</v>
      </c>
      <c r="O1399" s="1468"/>
    </row>
    <row r="1400" spans="11:15">
      <c r="K1400" s="1465">
        <v>43457</v>
      </c>
      <c r="L1400" s="1466"/>
      <c r="M1400" s="1467">
        <v>0</v>
      </c>
      <c r="N1400" s="1468">
        <v>1.4830707312090337</v>
      </c>
      <c r="O1400" s="1468"/>
    </row>
    <row r="1401" spans="11:15">
      <c r="K1401" s="1465">
        <v>43458</v>
      </c>
      <c r="L1401" s="1466" t="s">
        <v>2127</v>
      </c>
      <c r="M1401" s="1467">
        <v>2.462E-2</v>
      </c>
      <c r="N1401" s="1468">
        <v>1.4834358632230575</v>
      </c>
      <c r="O1401" s="1468"/>
    </row>
    <row r="1402" spans="11:15">
      <c r="K1402" s="1465">
        <v>43459</v>
      </c>
      <c r="L1402" s="1466"/>
      <c r="M1402" s="1467">
        <v>0</v>
      </c>
      <c r="N1402" s="1468">
        <v>1.4834358632230575</v>
      </c>
      <c r="O1402" s="1468"/>
    </row>
    <row r="1403" spans="11:15">
      <c r="K1403" s="1465">
        <v>43460</v>
      </c>
      <c r="L1403" s="1466" t="s">
        <v>2127</v>
      </c>
      <c r="M1403" s="1467">
        <v>2.462E-2</v>
      </c>
      <c r="N1403" s="1468">
        <v>1.4838010851325831</v>
      </c>
      <c r="O1403" s="1468"/>
    </row>
    <row r="1404" spans="11:15">
      <c r="K1404" s="1465">
        <v>43461</v>
      </c>
      <c r="L1404" s="1466" t="s">
        <v>2127</v>
      </c>
      <c r="M1404" s="1467">
        <v>2.462E-2</v>
      </c>
      <c r="N1404" s="1468">
        <v>1.484166396959743</v>
      </c>
      <c r="O1404" s="1468"/>
    </row>
    <row r="1405" spans="11:15">
      <c r="K1405" s="1465">
        <v>43462</v>
      </c>
      <c r="L1405" s="1466" t="s">
        <v>2127</v>
      </c>
      <c r="M1405" s="1467">
        <v>2.462E-2</v>
      </c>
      <c r="N1405" s="1468">
        <v>1.4845317987266746</v>
      </c>
      <c r="O1405" s="1468"/>
    </row>
    <row r="1406" spans="11:15">
      <c r="K1406" s="1465">
        <v>43463</v>
      </c>
      <c r="L1406" s="1466"/>
      <c r="M1406" s="1467">
        <v>0</v>
      </c>
      <c r="N1406" s="1468">
        <v>1.4845317987266746</v>
      </c>
      <c r="O1406" s="1468"/>
    </row>
    <row r="1407" spans="11:15">
      <c r="K1407" s="1465">
        <v>43464</v>
      </c>
      <c r="L1407" s="1466"/>
      <c r="M1407" s="1467">
        <v>0</v>
      </c>
      <c r="N1407" s="1468">
        <v>1.4845317987266746</v>
      </c>
      <c r="O1407" s="1468"/>
    </row>
    <row r="1408" spans="11:15">
      <c r="K1408" s="1465">
        <v>43465</v>
      </c>
      <c r="L1408" s="1466" t="s">
        <v>2127</v>
      </c>
      <c r="M1408" s="1467">
        <v>2.462E-2</v>
      </c>
      <c r="N1408" s="1468">
        <v>1.4848972904555213</v>
      </c>
      <c r="O1408" s="1468"/>
    </row>
    <row r="1409" spans="11:15">
      <c r="K1409" s="1465">
        <v>43466</v>
      </c>
      <c r="L1409" s="1466"/>
      <c r="M1409" s="1467">
        <v>0</v>
      </c>
      <c r="N1409" s="1468">
        <v>1.4848972904555213</v>
      </c>
      <c r="O1409" s="1468"/>
    </row>
    <row r="1410" spans="11:15">
      <c r="K1410" s="1465">
        <v>43467</v>
      </c>
      <c r="L1410" s="1466" t="s">
        <v>2127</v>
      </c>
      <c r="M1410" s="1467">
        <v>2.462E-2</v>
      </c>
      <c r="N1410" s="1468">
        <v>1.4852628721684316</v>
      </c>
      <c r="O1410" s="1468"/>
    </row>
    <row r="1411" spans="11:15">
      <c r="K1411" s="1465">
        <v>43468</v>
      </c>
      <c r="L1411" s="1466" t="s">
        <v>2127</v>
      </c>
      <c r="M1411" s="1467">
        <v>2.462E-2</v>
      </c>
      <c r="N1411" s="1468">
        <v>1.4856285438875596</v>
      </c>
      <c r="O1411" s="1468"/>
    </row>
    <row r="1412" spans="11:15">
      <c r="K1412" s="1465">
        <v>43469</v>
      </c>
      <c r="L1412" s="1466" t="s">
        <v>2127</v>
      </c>
      <c r="M1412" s="1467">
        <v>2.462E-2</v>
      </c>
      <c r="N1412" s="1468">
        <v>1.4859943056350648</v>
      </c>
      <c r="O1412" s="1468"/>
    </row>
    <row r="1413" spans="11:15">
      <c r="K1413" s="1465">
        <v>43470</v>
      </c>
      <c r="L1413" s="1466"/>
      <c r="M1413" s="1467">
        <v>0</v>
      </c>
      <c r="N1413" s="1468">
        <v>1.4859943056350648</v>
      </c>
      <c r="O1413" s="1468"/>
    </row>
    <row r="1414" spans="11:15">
      <c r="K1414" s="1465">
        <v>43471</v>
      </c>
      <c r="L1414" s="1466"/>
      <c r="M1414" s="1467">
        <v>0</v>
      </c>
      <c r="N1414" s="1468">
        <v>1.4859943056350648</v>
      </c>
      <c r="O1414" s="1468"/>
    </row>
    <row r="1415" spans="11:15">
      <c r="K1415" s="1465">
        <v>43472</v>
      </c>
      <c r="L1415" s="1466" t="s">
        <v>2127</v>
      </c>
      <c r="M1415" s="1467">
        <v>2.462E-2</v>
      </c>
      <c r="N1415" s="1468">
        <v>1.4863601574331122</v>
      </c>
      <c r="O1415" s="1468"/>
    </row>
    <row r="1416" spans="11:15">
      <c r="K1416" s="1465">
        <v>43473</v>
      </c>
      <c r="L1416" s="1466" t="s">
        <v>2127</v>
      </c>
      <c r="M1416" s="1467">
        <v>2.462E-2</v>
      </c>
      <c r="N1416" s="1468">
        <v>1.4867260993038725</v>
      </c>
      <c r="O1416" s="1468"/>
    </row>
    <row r="1417" spans="11:15">
      <c r="K1417" s="1465">
        <v>43474</v>
      </c>
      <c r="L1417" s="1466" t="s">
        <v>2127</v>
      </c>
      <c r="M1417" s="1467">
        <v>2.462E-2</v>
      </c>
      <c r="N1417" s="1468">
        <v>1.4870921312695211</v>
      </c>
      <c r="O1417" s="1468"/>
    </row>
    <row r="1418" spans="11:15">
      <c r="K1418" s="1465">
        <v>43475</v>
      </c>
      <c r="L1418" s="1466" t="s">
        <v>2127</v>
      </c>
      <c r="M1418" s="1467">
        <v>2.462E-2</v>
      </c>
      <c r="N1418" s="1468">
        <v>1.4874582533522398</v>
      </c>
      <c r="O1418" s="1468"/>
    </row>
    <row r="1419" spans="11:15">
      <c r="K1419" s="1465">
        <v>43476</v>
      </c>
      <c r="L1419" s="1466" t="s">
        <v>2127</v>
      </c>
      <c r="M1419" s="1467">
        <v>2.462E-2</v>
      </c>
      <c r="N1419" s="1468">
        <v>1.4878244655742152</v>
      </c>
      <c r="O1419" s="1468"/>
    </row>
    <row r="1420" spans="11:15">
      <c r="K1420" s="1465">
        <v>43477</v>
      </c>
      <c r="L1420" s="1466"/>
      <c r="M1420" s="1467">
        <v>0</v>
      </c>
      <c r="N1420" s="1468">
        <v>1.4878244655742152</v>
      </c>
      <c r="O1420" s="1468"/>
    </row>
    <row r="1421" spans="11:15">
      <c r="K1421" s="1465">
        <v>43478</v>
      </c>
      <c r="L1421" s="1466"/>
      <c r="M1421" s="1467">
        <v>0</v>
      </c>
      <c r="N1421" s="1468">
        <v>1.4878244655742152</v>
      </c>
      <c r="O1421" s="1468"/>
    </row>
    <row r="1422" spans="11:15">
      <c r="K1422" s="1465">
        <v>43479</v>
      </c>
      <c r="L1422" s="1466" t="s">
        <v>2127</v>
      </c>
      <c r="M1422" s="1467">
        <v>2.462E-2</v>
      </c>
      <c r="N1422" s="1468">
        <v>1.4881907679576396</v>
      </c>
      <c r="O1422" s="1468"/>
    </row>
    <row r="1423" spans="11:15">
      <c r="K1423" s="1465">
        <v>43480</v>
      </c>
      <c r="L1423" s="1466" t="s">
        <v>2127</v>
      </c>
      <c r="M1423" s="1467">
        <v>2.462E-2</v>
      </c>
      <c r="N1423" s="1468">
        <v>1.488557160524711</v>
      </c>
      <c r="O1423" s="1468"/>
    </row>
    <row r="1424" spans="11:15">
      <c r="K1424" s="1465">
        <v>43481</v>
      </c>
      <c r="L1424" s="1466" t="s">
        <v>2127</v>
      </c>
      <c r="M1424" s="1467">
        <v>2.462E-2</v>
      </c>
      <c r="N1424" s="1468">
        <v>1.4889236432976323</v>
      </c>
      <c r="O1424" s="1468"/>
    </row>
    <row r="1425" spans="11:15">
      <c r="K1425" s="1465">
        <v>43482</v>
      </c>
      <c r="L1425" s="1466" t="s">
        <v>2127</v>
      </c>
      <c r="M1425" s="1467">
        <v>2.462E-2</v>
      </c>
      <c r="N1425" s="1468">
        <v>1.4892902162986124</v>
      </c>
      <c r="O1425" s="1468"/>
    </row>
    <row r="1426" spans="11:15">
      <c r="K1426" s="1465">
        <v>43483</v>
      </c>
      <c r="L1426" s="1466" t="s">
        <v>2127</v>
      </c>
      <c r="M1426" s="1467">
        <v>2.462E-2</v>
      </c>
      <c r="N1426" s="1468">
        <v>1.4896568795498653</v>
      </c>
      <c r="O1426" s="1468"/>
    </row>
    <row r="1427" spans="11:15">
      <c r="K1427" s="1465">
        <v>43484</v>
      </c>
      <c r="L1427" s="1466"/>
      <c r="M1427" s="1467">
        <v>0</v>
      </c>
      <c r="N1427" s="1468">
        <v>1.4896568795498653</v>
      </c>
      <c r="O1427" s="1468"/>
    </row>
    <row r="1428" spans="11:15">
      <c r="K1428" s="1465">
        <v>43485</v>
      </c>
      <c r="L1428" s="1466"/>
      <c r="M1428" s="1467">
        <v>0</v>
      </c>
      <c r="N1428" s="1468">
        <v>1.4896568795498653</v>
      </c>
      <c r="O1428" s="1468"/>
    </row>
    <row r="1429" spans="11:15">
      <c r="K1429" s="1465">
        <v>43486</v>
      </c>
      <c r="L1429" s="1466" t="s">
        <v>2127</v>
      </c>
      <c r="M1429" s="1467">
        <v>2.462E-2</v>
      </c>
      <c r="N1429" s="1468">
        <v>1.4900236330736105</v>
      </c>
      <c r="O1429" s="1468"/>
    </row>
    <row r="1430" spans="11:15">
      <c r="K1430" s="1465">
        <v>43487</v>
      </c>
      <c r="L1430" s="1466" t="s">
        <v>2127</v>
      </c>
      <c r="M1430" s="1467">
        <v>2.462E-2</v>
      </c>
      <c r="N1430" s="1468">
        <v>1.4903904768920733</v>
      </c>
      <c r="O1430" s="1468"/>
    </row>
    <row r="1431" spans="11:15">
      <c r="K1431" s="1465">
        <v>43488</v>
      </c>
      <c r="L1431" s="1466" t="s">
        <v>2127</v>
      </c>
      <c r="M1431" s="1467">
        <v>2.462E-2</v>
      </c>
      <c r="N1431" s="1468">
        <v>1.4907574110274842</v>
      </c>
      <c r="O1431" s="1468"/>
    </row>
    <row r="1432" spans="11:15">
      <c r="K1432" s="1465">
        <v>43489</v>
      </c>
      <c r="L1432" s="1466" t="s">
        <v>2127</v>
      </c>
      <c r="M1432" s="1467">
        <v>2.462E-2</v>
      </c>
      <c r="N1432" s="1468">
        <v>1.4911244355020792</v>
      </c>
      <c r="O1432" s="1468"/>
    </row>
    <row r="1433" spans="11:15">
      <c r="K1433" s="1465">
        <v>43490</v>
      </c>
      <c r="L1433" s="1466" t="s">
        <v>2127</v>
      </c>
      <c r="M1433" s="1467">
        <v>2.462E-2</v>
      </c>
      <c r="N1433" s="1468">
        <v>1.4914915503380999</v>
      </c>
      <c r="O1433" s="1468"/>
    </row>
    <row r="1434" spans="11:15">
      <c r="K1434" s="1465">
        <v>43491</v>
      </c>
      <c r="L1434" s="1466"/>
      <c r="M1434" s="1467">
        <v>0</v>
      </c>
      <c r="N1434" s="1468">
        <v>1.4914915503380999</v>
      </c>
      <c r="O1434" s="1468"/>
    </row>
    <row r="1435" spans="11:15">
      <c r="K1435" s="1465">
        <v>43492</v>
      </c>
      <c r="L1435" s="1466"/>
      <c r="M1435" s="1467">
        <v>0</v>
      </c>
      <c r="N1435" s="1468">
        <v>1.4914915503380999</v>
      </c>
      <c r="O1435" s="1468"/>
    </row>
    <row r="1436" spans="11:15">
      <c r="K1436" s="1465">
        <v>43493</v>
      </c>
      <c r="L1436" s="1466" t="s">
        <v>2127</v>
      </c>
      <c r="M1436" s="1467">
        <v>2.462E-2</v>
      </c>
      <c r="N1436" s="1468">
        <v>1.4918587555577933</v>
      </c>
      <c r="O1436" s="1468"/>
    </row>
    <row r="1437" spans="11:15">
      <c r="K1437" s="1465">
        <v>43494</v>
      </c>
      <c r="L1437" s="1466" t="s">
        <v>2127</v>
      </c>
      <c r="M1437" s="1467">
        <v>2.462E-2</v>
      </c>
      <c r="N1437" s="1468">
        <v>1.4922260511834118</v>
      </c>
      <c r="O1437" s="1468"/>
    </row>
    <row r="1438" spans="11:15">
      <c r="K1438" s="1465">
        <v>43495</v>
      </c>
      <c r="L1438" s="1466" t="s">
        <v>2127</v>
      </c>
      <c r="M1438" s="1467">
        <v>2.462E-2</v>
      </c>
      <c r="N1438" s="1468">
        <v>1.4925934372372132</v>
      </c>
      <c r="O1438" s="1468"/>
    </row>
    <row r="1439" spans="11:15">
      <c r="K1439" s="1465">
        <v>43496</v>
      </c>
      <c r="L1439" s="1466" t="s">
        <v>2127</v>
      </c>
      <c r="M1439" s="1467">
        <v>2.462E-2</v>
      </c>
      <c r="N1439" s="1468">
        <v>1.492960913741461</v>
      </c>
      <c r="O1439" s="1468"/>
    </row>
    <row r="1440" spans="11:15">
      <c r="K1440" s="1465">
        <v>43497</v>
      </c>
      <c r="L1440" s="1466" t="s">
        <v>2127</v>
      </c>
      <c r="M1440" s="1467">
        <v>2.462E-2</v>
      </c>
      <c r="N1440" s="1468">
        <v>1.4933284807184244</v>
      </c>
      <c r="O1440" s="1468"/>
    </row>
    <row r="1441" spans="11:15">
      <c r="K1441" s="1465">
        <v>43498</v>
      </c>
      <c r="L1441" s="1466"/>
      <c r="M1441" s="1467">
        <v>0</v>
      </c>
      <c r="N1441" s="1468">
        <v>1.4933284807184244</v>
      </c>
      <c r="O1441" s="1468"/>
    </row>
    <row r="1442" spans="11:15">
      <c r="K1442" s="1465">
        <v>43499</v>
      </c>
      <c r="L1442" s="1466"/>
      <c r="M1442" s="1467">
        <v>0</v>
      </c>
      <c r="N1442" s="1468">
        <v>1.4933284807184244</v>
      </c>
      <c r="O1442" s="1468"/>
    </row>
    <row r="1443" spans="11:15">
      <c r="K1443" s="1465">
        <v>43500</v>
      </c>
      <c r="L1443" s="1466" t="s">
        <v>2127</v>
      </c>
      <c r="M1443" s="1467">
        <v>2.462E-2</v>
      </c>
      <c r="N1443" s="1468">
        <v>1.4936961381903775</v>
      </c>
      <c r="O1443" s="1468"/>
    </row>
    <row r="1444" spans="11:15">
      <c r="K1444" s="1465">
        <v>43501</v>
      </c>
      <c r="L1444" s="1466" t="s">
        <v>2127</v>
      </c>
      <c r="M1444" s="1467">
        <v>2.462E-2</v>
      </c>
      <c r="N1444" s="1468">
        <v>1.4940638861796001</v>
      </c>
      <c r="O1444" s="1468"/>
    </row>
    <row r="1445" spans="11:15">
      <c r="K1445" s="1465">
        <v>43502</v>
      </c>
      <c r="L1445" s="1466" t="s">
        <v>2127</v>
      </c>
      <c r="M1445" s="1467">
        <v>2.462E-2</v>
      </c>
      <c r="N1445" s="1468">
        <v>1.4944317247083776</v>
      </c>
      <c r="O1445" s="1468"/>
    </row>
    <row r="1446" spans="11:15">
      <c r="K1446" s="1465">
        <v>43503</v>
      </c>
      <c r="L1446" s="1466" t="s">
        <v>2127</v>
      </c>
      <c r="M1446" s="1467">
        <v>2.462E-2</v>
      </c>
      <c r="N1446" s="1468">
        <v>1.4947996537990009</v>
      </c>
      <c r="O1446" s="1468"/>
    </row>
    <row r="1447" spans="11:15">
      <c r="K1447" s="1465">
        <v>43504</v>
      </c>
      <c r="L1447" s="1466" t="s">
        <v>2127</v>
      </c>
      <c r="M1447" s="1467">
        <v>2.462E-2</v>
      </c>
      <c r="N1447" s="1468">
        <v>1.4951676734737664</v>
      </c>
      <c r="O1447" s="1468"/>
    </row>
    <row r="1448" spans="11:15">
      <c r="K1448" s="1465">
        <v>43505</v>
      </c>
      <c r="L1448" s="1466"/>
      <c r="M1448" s="1467">
        <v>0</v>
      </c>
      <c r="N1448" s="1468">
        <v>1.4951676734737664</v>
      </c>
      <c r="O1448" s="1468"/>
    </row>
    <row r="1449" spans="11:15">
      <c r="K1449" s="1465">
        <v>43506</v>
      </c>
      <c r="L1449" s="1466"/>
      <c r="M1449" s="1467">
        <v>0</v>
      </c>
      <c r="N1449" s="1468">
        <v>1.4951676734737664</v>
      </c>
      <c r="O1449" s="1468"/>
    </row>
    <row r="1450" spans="11:15">
      <c r="K1450" s="1465">
        <v>43507</v>
      </c>
      <c r="L1450" s="1466" t="s">
        <v>2127</v>
      </c>
      <c r="M1450" s="1467">
        <v>2.462E-2</v>
      </c>
      <c r="N1450" s="1468">
        <v>1.4955357837549759</v>
      </c>
      <c r="O1450" s="1468"/>
    </row>
    <row r="1451" spans="11:15">
      <c r="K1451" s="1465">
        <v>43508</v>
      </c>
      <c r="L1451" s="1466" t="s">
        <v>2127</v>
      </c>
      <c r="M1451" s="1467">
        <v>2.462E-2</v>
      </c>
      <c r="N1451" s="1468">
        <v>1.4959039846649365</v>
      </c>
      <c r="O1451" s="1468"/>
    </row>
    <row r="1452" spans="11:15">
      <c r="K1452" s="1465">
        <v>43509</v>
      </c>
      <c r="L1452" s="1466" t="s">
        <v>2127</v>
      </c>
      <c r="M1452" s="1467">
        <v>2.462E-2</v>
      </c>
      <c r="N1452" s="1468">
        <v>1.496272276225961</v>
      </c>
      <c r="O1452" s="1468"/>
    </row>
    <row r="1453" spans="11:15">
      <c r="K1453" s="1465">
        <v>43510</v>
      </c>
      <c r="L1453" s="1466" t="s">
        <v>2127</v>
      </c>
      <c r="M1453" s="1467">
        <v>2.462E-2</v>
      </c>
      <c r="N1453" s="1468">
        <v>1.496640658460368</v>
      </c>
      <c r="O1453" s="1468"/>
    </row>
    <row r="1454" spans="11:15">
      <c r="K1454" s="1465">
        <v>43511</v>
      </c>
      <c r="L1454" s="1466" t="s">
        <v>2127</v>
      </c>
      <c r="M1454" s="1467">
        <v>2.462E-2</v>
      </c>
      <c r="N1454" s="1468">
        <v>1.497009131390481</v>
      </c>
      <c r="O1454" s="1468"/>
    </row>
    <row r="1455" spans="11:15">
      <c r="K1455" s="1465">
        <v>43512</v>
      </c>
      <c r="L1455" s="1466"/>
      <c r="M1455" s="1467">
        <v>0</v>
      </c>
      <c r="N1455" s="1468">
        <v>1.497009131390481</v>
      </c>
      <c r="O1455" s="1468"/>
    </row>
    <row r="1456" spans="11:15">
      <c r="K1456" s="1465">
        <v>43513</v>
      </c>
      <c r="L1456" s="1466"/>
      <c r="M1456" s="1467">
        <v>0</v>
      </c>
      <c r="N1456" s="1468">
        <v>1.497009131390481</v>
      </c>
      <c r="O1456" s="1468"/>
    </row>
    <row r="1457" spans="11:15">
      <c r="K1457" s="1465">
        <v>43514</v>
      </c>
      <c r="L1457" s="1466" t="s">
        <v>2127</v>
      </c>
      <c r="M1457" s="1467">
        <v>2.462E-2</v>
      </c>
      <c r="N1457" s="1468">
        <v>1.4973776950386295</v>
      </c>
      <c r="O1457" s="1468"/>
    </row>
    <row r="1458" spans="11:15">
      <c r="K1458" s="1465">
        <v>43515</v>
      </c>
      <c r="L1458" s="1466" t="s">
        <v>2127</v>
      </c>
      <c r="M1458" s="1467">
        <v>2.462E-2</v>
      </c>
      <c r="N1458" s="1468">
        <v>1.4977463494271481</v>
      </c>
      <c r="O1458" s="1468"/>
    </row>
    <row r="1459" spans="11:15">
      <c r="K1459" s="1465">
        <v>43516</v>
      </c>
      <c r="L1459" s="1466" t="s">
        <v>2127</v>
      </c>
      <c r="M1459" s="1467">
        <v>2.462E-2</v>
      </c>
      <c r="N1459" s="1468">
        <v>1.4981150945783772</v>
      </c>
      <c r="O1459" s="1468"/>
    </row>
    <row r="1460" spans="11:15">
      <c r="K1460" s="1465">
        <v>43517</v>
      </c>
      <c r="L1460" s="1466" t="s">
        <v>2127</v>
      </c>
      <c r="M1460" s="1467">
        <v>2.462E-2</v>
      </c>
      <c r="N1460" s="1468">
        <v>1.4984839305146624</v>
      </c>
      <c r="O1460" s="1468"/>
    </row>
    <row r="1461" spans="11:15">
      <c r="K1461" s="1465">
        <v>43518</v>
      </c>
      <c r="L1461" s="1466" t="s">
        <v>2127</v>
      </c>
      <c r="M1461" s="1467">
        <v>2.462E-2</v>
      </c>
      <c r="N1461" s="1468">
        <v>1.4988528572583553</v>
      </c>
      <c r="O1461" s="1468"/>
    </row>
    <row r="1462" spans="11:15">
      <c r="K1462" s="1465">
        <v>43519</v>
      </c>
      <c r="L1462" s="1466"/>
      <c r="M1462" s="1467">
        <v>0</v>
      </c>
      <c r="N1462" s="1468">
        <v>1.4988528572583553</v>
      </c>
      <c r="O1462" s="1468"/>
    </row>
    <row r="1463" spans="11:15">
      <c r="K1463" s="1465">
        <v>43520</v>
      </c>
      <c r="L1463" s="1466"/>
      <c r="M1463" s="1467">
        <v>0</v>
      </c>
      <c r="N1463" s="1468">
        <v>1.4988528572583553</v>
      </c>
      <c r="O1463" s="1468"/>
    </row>
    <row r="1464" spans="11:15">
      <c r="K1464" s="1465">
        <v>43521</v>
      </c>
      <c r="L1464" s="1466" t="s">
        <v>2127</v>
      </c>
      <c r="M1464" s="1467">
        <v>2.462E-2</v>
      </c>
      <c r="N1464" s="1468">
        <v>1.4992218748318125</v>
      </c>
      <c r="O1464" s="1468"/>
    </row>
    <row r="1465" spans="11:15">
      <c r="K1465" s="1465">
        <v>43522</v>
      </c>
      <c r="L1465" s="1466" t="s">
        <v>2127</v>
      </c>
      <c r="M1465" s="1467">
        <v>2.462E-2</v>
      </c>
      <c r="N1465" s="1468">
        <v>1.4995909832573961</v>
      </c>
      <c r="O1465" s="1468"/>
    </row>
    <row r="1466" spans="11:15">
      <c r="K1466" s="1465">
        <v>43523</v>
      </c>
      <c r="L1466" s="1466" t="s">
        <v>2127</v>
      </c>
      <c r="M1466" s="1467">
        <v>2.462E-2</v>
      </c>
      <c r="N1466" s="1468">
        <v>1.4999601825574742</v>
      </c>
      <c r="O1466" s="1468"/>
    </row>
    <row r="1467" spans="11:15">
      <c r="K1467" s="1465">
        <v>43524</v>
      </c>
      <c r="L1467" s="1466" t="s">
        <v>2127</v>
      </c>
      <c r="M1467" s="1467">
        <v>2.462E-2</v>
      </c>
      <c r="N1467" s="1468">
        <v>1.5003294727544201</v>
      </c>
      <c r="O1467" s="1468"/>
    </row>
    <row r="1468" spans="11:15">
      <c r="K1468" s="1465">
        <v>43525</v>
      </c>
      <c r="L1468" s="1466" t="s">
        <v>2127</v>
      </c>
      <c r="M1468" s="1467">
        <v>2.462E-2</v>
      </c>
      <c r="N1468" s="1468">
        <v>1.5006988538706123</v>
      </c>
      <c r="O1468" s="1468"/>
    </row>
    <row r="1469" spans="11:15">
      <c r="K1469" s="1465">
        <v>43526</v>
      </c>
      <c r="L1469" s="1466"/>
      <c r="M1469" s="1467">
        <v>0</v>
      </c>
      <c r="N1469" s="1468">
        <v>1.5006988538706123</v>
      </c>
      <c r="O1469" s="1468"/>
    </row>
    <row r="1470" spans="11:15">
      <c r="K1470" s="1465">
        <v>43527</v>
      </c>
      <c r="L1470" s="1466"/>
      <c r="M1470" s="1467">
        <v>0</v>
      </c>
      <c r="N1470" s="1468">
        <v>1.5006988538706123</v>
      </c>
      <c r="O1470" s="1468"/>
    </row>
    <row r="1471" spans="11:15">
      <c r="K1471" s="1465">
        <v>43528</v>
      </c>
      <c r="L1471" s="1466"/>
      <c r="M1471" s="1467">
        <v>0</v>
      </c>
      <c r="N1471" s="1468">
        <v>1.5006988538706123</v>
      </c>
      <c r="O1471" s="1468"/>
    </row>
    <row r="1472" spans="11:15">
      <c r="K1472" s="1465">
        <v>43529</v>
      </c>
      <c r="L1472" s="1466"/>
      <c r="M1472" s="1467">
        <v>0</v>
      </c>
      <c r="N1472" s="1468">
        <v>1.5006988538706123</v>
      </c>
      <c r="O1472" s="1468"/>
    </row>
    <row r="1473" spans="11:15">
      <c r="K1473" s="1465">
        <v>43530</v>
      </c>
      <c r="L1473" s="1466" t="s">
        <v>2127</v>
      </c>
      <c r="M1473" s="1467">
        <v>2.462E-2</v>
      </c>
      <c r="N1473" s="1468">
        <v>1.5010683259284354</v>
      </c>
      <c r="O1473" s="1468"/>
    </row>
    <row r="1474" spans="11:15">
      <c r="K1474" s="1465">
        <v>43531</v>
      </c>
      <c r="L1474" s="1466" t="s">
        <v>2127</v>
      </c>
      <c r="M1474" s="1467">
        <v>2.462E-2</v>
      </c>
      <c r="N1474" s="1468">
        <v>1.5014378889502791</v>
      </c>
      <c r="O1474" s="1468"/>
    </row>
    <row r="1475" spans="11:15">
      <c r="K1475" s="1465">
        <v>43532</v>
      </c>
      <c r="L1475" s="1466" t="s">
        <v>2127</v>
      </c>
      <c r="M1475" s="1467">
        <v>2.462E-2</v>
      </c>
      <c r="N1475" s="1468">
        <v>1.5018075429585387</v>
      </c>
      <c r="O1475" s="1468"/>
    </row>
    <row r="1476" spans="11:15">
      <c r="K1476" s="1465">
        <v>43533</v>
      </c>
      <c r="L1476" s="1466"/>
      <c r="M1476" s="1467">
        <v>0</v>
      </c>
      <c r="N1476" s="1468">
        <v>1.5018075429585387</v>
      </c>
      <c r="O1476" s="1468"/>
    </row>
    <row r="1477" spans="11:15">
      <c r="K1477" s="1465">
        <v>43534</v>
      </c>
      <c r="L1477" s="1466"/>
      <c r="M1477" s="1467">
        <v>0</v>
      </c>
      <c r="N1477" s="1468">
        <v>1.5018075429585387</v>
      </c>
      <c r="O1477" s="1468"/>
    </row>
    <row r="1478" spans="11:15">
      <c r="K1478" s="1465">
        <v>43535</v>
      </c>
      <c r="L1478" s="1466" t="s">
        <v>2127</v>
      </c>
      <c r="M1478" s="1467">
        <v>2.462E-2</v>
      </c>
      <c r="N1478" s="1468">
        <v>1.5021772879756152</v>
      </c>
      <c r="O1478" s="1468"/>
    </row>
    <row r="1479" spans="11:15">
      <c r="K1479" s="1465">
        <v>43536</v>
      </c>
      <c r="L1479" s="1466" t="s">
        <v>2127</v>
      </c>
      <c r="M1479" s="1467">
        <v>2.462E-2</v>
      </c>
      <c r="N1479" s="1468">
        <v>1.502547124023915</v>
      </c>
      <c r="O1479" s="1468"/>
    </row>
    <row r="1480" spans="11:15">
      <c r="K1480" s="1465">
        <v>43537</v>
      </c>
      <c r="L1480" s="1466" t="s">
        <v>2127</v>
      </c>
      <c r="M1480" s="1467">
        <v>2.462E-2</v>
      </c>
      <c r="N1480" s="1468">
        <v>1.5029170511258498</v>
      </c>
      <c r="O1480" s="1468"/>
    </row>
    <row r="1481" spans="11:15">
      <c r="K1481" s="1465">
        <v>43538</v>
      </c>
      <c r="L1481" s="1466" t="s">
        <v>2127</v>
      </c>
      <c r="M1481" s="1467">
        <v>2.462E-2</v>
      </c>
      <c r="N1481" s="1468">
        <v>1.5032870693038372</v>
      </c>
      <c r="O1481" s="1468"/>
    </row>
    <row r="1482" spans="11:15">
      <c r="K1482" s="1465">
        <v>43539</v>
      </c>
      <c r="L1482" s="1466" t="s">
        <v>2127</v>
      </c>
      <c r="M1482" s="1467">
        <v>2.462E-2</v>
      </c>
      <c r="N1482" s="1468">
        <v>1.5036571785802999</v>
      </c>
      <c r="O1482" s="1468"/>
    </row>
    <row r="1483" spans="11:15">
      <c r="K1483" s="1465">
        <v>43540</v>
      </c>
      <c r="L1483" s="1466"/>
      <c r="M1483" s="1467">
        <v>0</v>
      </c>
      <c r="N1483" s="1468">
        <v>1.5036571785802999</v>
      </c>
      <c r="O1483" s="1468"/>
    </row>
    <row r="1484" spans="11:15">
      <c r="K1484" s="1465">
        <v>43541</v>
      </c>
      <c r="L1484" s="1466"/>
      <c r="M1484" s="1467">
        <v>0</v>
      </c>
      <c r="N1484" s="1468">
        <v>1.5036571785802999</v>
      </c>
      <c r="O1484" s="1468"/>
    </row>
    <row r="1485" spans="11:15">
      <c r="K1485" s="1465">
        <v>43542</v>
      </c>
      <c r="L1485" s="1466" t="s">
        <v>2127</v>
      </c>
      <c r="M1485" s="1467">
        <v>2.462E-2</v>
      </c>
      <c r="N1485" s="1468">
        <v>1.5040273789776666</v>
      </c>
      <c r="O1485" s="1468"/>
    </row>
    <row r="1486" spans="11:15">
      <c r="K1486" s="1465">
        <v>43543</v>
      </c>
      <c r="L1486" s="1466" t="s">
        <v>2127</v>
      </c>
      <c r="M1486" s="1467">
        <v>2.462E-2</v>
      </c>
      <c r="N1486" s="1468">
        <v>1.504397670518371</v>
      </c>
      <c r="O1486" s="1468"/>
    </row>
    <row r="1487" spans="11:15">
      <c r="K1487" s="1465">
        <v>43544</v>
      </c>
      <c r="L1487" s="1466" t="s">
        <v>2127</v>
      </c>
      <c r="M1487" s="1467">
        <v>2.462E-2</v>
      </c>
      <c r="N1487" s="1468">
        <v>1.5047680532248529</v>
      </c>
      <c r="O1487" s="1468"/>
    </row>
    <row r="1488" spans="11:15">
      <c r="K1488" s="1465">
        <v>43545</v>
      </c>
      <c r="L1488" s="1466" t="s">
        <v>2127</v>
      </c>
      <c r="M1488" s="1467">
        <v>2.462E-2</v>
      </c>
      <c r="N1488" s="1468">
        <v>1.505138527119557</v>
      </c>
      <c r="O1488" s="1468"/>
    </row>
    <row r="1489" spans="11:15">
      <c r="K1489" s="1465">
        <v>43546</v>
      </c>
      <c r="L1489" s="1466" t="s">
        <v>2127</v>
      </c>
      <c r="M1489" s="1467">
        <v>2.462E-2</v>
      </c>
      <c r="N1489" s="1468">
        <v>1.5055090922249339</v>
      </c>
      <c r="O1489" s="1468"/>
    </row>
    <row r="1490" spans="11:15">
      <c r="K1490" s="1465">
        <v>43547</v>
      </c>
      <c r="L1490" s="1466"/>
      <c r="M1490" s="1467">
        <v>0</v>
      </c>
      <c r="N1490" s="1468">
        <v>1.5055090922249339</v>
      </c>
      <c r="O1490" s="1468"/>
    </row>
    <row r="1491" spans="11:15">
      <c r="K1491" s="1465">
        <v>43548</v>
      </c>
      <c r="L1491" s="1466"/>
      <c r="M1491" s="1467">
        <v>0</v>
      </c>
      <c r="N1491" s="1468">
        <v>1.5055090922249339</v>
      </c>
      <c r="O1491" s="1468"/>
    </row>
    <row r="1492" spans="11:15">
      <c r="K1492" s="1465">
        <v>43549</v>
      </c>
      <c r="L1492" s="1466" t="s">
        <v>2127</v>
      </c>
      <c r="M1492" s="1467">
        <v>2.462E-2</v>
      </c>
      <c r="N1492" s="1468">
        <v>1.5058797485634399</v>
      </c>
      <c r="O1492" s="1468"/>
    </row>
    <row r="1493" spans="11:15">
      <c r="K1493" s="1465">
        <v>43550</v>
      </c>
      <c r="L1493" s="1466" t="s">
        <v>2127</v>
      </c>
      <c r="M1493" s="1467">
        <v>2.462E-2</v>
      </c>
      <c r="N1493" s="1468">
        <v>1.5062504961575363</v>
      </c>
      <c r="O1493" s="1468"/>
    </row>
    <row r="1494" spans="11:15">
      <c r="K1494" s="1465">
        <v>43551</v>
      </c>
      <c r="L1494" s="1466" t="s">
        <v>2127</v>
      </c>
      <c r="M1494" s="1467">
        <v>2.462E-2</v>
      </c>
      <c r="N1494" s="1468">
        <v>1.5066213350296904</v>
      </c>
      <c r="O1494" s="1468"/>
    </row>
    <row r="1495" spans="11:15">
      <c r="K1495" s="1465">
        <v>43552</v>
      </c>
      <c r="L1495" s="1466" t="s">
        <v>2127</v>
      </c>
      <c r="M1495" s="1467">
        <v>2.462E-2</v>
      </c>
      <c r="N1495" s="1468">
        <v>1.5069922652023748</v>
      </c>
      <c r="O1495" s="1468"/>
    </row>
    <row r="1496" spans="11:15">
      <c r="K1496" s="1465">
        <v>43553</v>
      </c>
      <c r="L1496" s="1466" t="s">
        <v>2127</v>
      </c>
      <c r="M1496" s="1467">
        <v>2.462E-2</v>
      </c>
      <c r="N1496" s="1468">
        <v>1.5073632866980677</v>
      </c>
      <c r="O1496" s="1468"/>
    </row>
    <row r="1497" spans="11:15">
      <c r="K1497" s="1465">
        <v>43554</v>
      </c>
      <c r="L1497" s="1466"/>
      <c r="M1497" s="1467">
        <v>0</v>
      </c>
      <c r="N1497" s="1468">
        <v>1.5073632866980677</v>
      </c>
      <c r="O1497" s="1468"/>
    </row>
    <row r="1498" spans="11:15">
      <c r="K1498" s="1465">
        <v>43555</v>
      </c>
      <c r="L1498" s="1466"/>
      <c r="M1498" s="1467">
        <v>0</v>
      </c>
      <c r="N1498" s="1468">
        <v>1.5073632866980677</v>
      </c>
      <c r="O1498" s="1468"/>
    </row>
    <row r="1499" spans="11:15">
      <c r="K1499" s="1465">
        <v>43556</v>
      </c>
      <c r="L1499" s="1466" t="s">
        <v>2127</v>
      </c>
      <c r="M1499" s="1467">
        <v>2.462E-2</v>
      </c>
      <c r="N1499" s="1468">
        <v>1.5077343995392529</v>
      </c>
      <c r="O1499" s="1468"/>
    </row>
    <row r="1500" spans="11:15">
      <c r="K1500" s="1465">
        <v>43557</v>
      </c>
      <c r="L1500" s="1466" t="s">
        <v>2127</v>
      </c>
      <c r="M1500" s="1467">
        <v>2.462E-2</v>
      </c>
      <c r="N1500" s="1468">
        <v>1.5081056037484195</v>
      </c>
      <c r="O1500" s="1468"/>
    </row>
    <row r="1501" spans="11:15">
      <c r="K1501" s="1465">
        <v>43558</v>
      </c>
      <c r="L1501" s="1466" t="s">
        <v>2127</v>
      </c>
      <c r="M1501" s="1467">
        <v>2.462E-2</v>
      </c>
      <c r="N1501" s="1468">
        <v>1.5084768993480624</v>
      </c>
      <c r="O1501" s="1468"/>
    </row>
    <row r="1502" spans="11:15">
      <c r="K1502" s="1465">
        <v>43559</v>
      </c>
      <c r="L1502" s="1466" t="s">
        <v>2127</v>
      </c>
      <c r="M1502" s="1467">
        <v>2.462E-2</v>
      </c>
      <c r="N1502" s="1468">
        <v>1.508848286360682</v>
      </c>
      <c r="O1502" s="1468"/>
    </row>
    <row r="1503" spans="11:15">
      <c r="K1503" s="1465">
        <v>43560</v>
      </c>
      <c r="L1503" s="1466" t="s">
        <v>2127</v>
      </c>
      <c r="M1503" s="1467">
        <v>2.462E-2</v>
      </c>
      <c r="N1503" s="1468">
        <v>1.5092197648087842</v>
      </c>
      <c r="O1503" s="1468"/>
    </row>
    <row r="1504" spans="11:15">
      <c r="K1504" s="1465">
        <v>43561</v>
      </c>
      <c r="L1504" s="1466"/>
      <c r="M1504" s="1467">
        <v>0</v>
      </c>
      <c r="N1504" s="1468">
        <v>1.5092197648087842</v>
      </c>
      <c r="O1504" s="1468"/>
    </row>
    <row r="1505" spans="11:15">
      <c r="K1505" s="1465">
        <v>43562</v>
      </c>
      <c r="L1505" s="1466"/>
      <c r="M1505" s="1467">
        <v>0</v>
      </c>
      <c r="N1505" s="1468">
        <v>1.5092197648087842</v>
      </c>
      <c r="O1505" s="1468"/>
    </row>
    <row r="1506" spans="11:15">
      <c r="K1506" s="1465">
        <v>43563</v>
      </c>
      <c r="L1506" s="1466" t="s">
        <v>2127</v>
      </c>
      <c r="M1506" s="1467">
        <v>2.462E-2</v>
      </c>
      <c r="N1506" s="1468">
        <v>1.5095913347148802</v>
      </c>
      <c r="O1506" s="1468"/>
    </row>
    <row r="1507" spans="11:15">
      <c r="K1507" s="1465">
        <v>43564</v>
      </c>
      <c r="L1507" s="1466" t="s">
        <v>2127</v>
      </c>
      <c r="M1507" s="1467">
        <v>2.462E-2</v>
      </c>
      <c r="N1507" s="1468">
        <v>1.5099629961014871</v>
      </c>
      <c r="O1507" s="1468"/>
    </row>
    <row r="1508" spans="11:15">
      <c r="K1508" s="1465">
        <v>43565</v>
      </c>
      <c r="L1508" s="1466" t="s">
        <v>2127</v>
      </c>
      <c r="M1508" s="1467">
        <v>2.462E-2</v>
      </c>
      <c r="N1508" s="1468">
        <v>1.5103347489911274</v>
      </c>
      <c r="O1508" s="1468"/>
    </row>
    <row r="1509" spans="11:15">
      <c r="K1509" s="1465">
        <v>43566</v>
      </c>
      <c r="L1509" s="1466" t="s">
        <v>2127</v>
      </c>
      <c r="M1509" s="1467">
        <v>2.462E-2</v>
      </c>
      <c r="N1509" s="1468">
        <v>1.5107065934063291</v>
      </c>
      <c r="O1509" s="1468"/>
    </row>
    <row r="1510" spans="11:15">
      <c r="K1510" s="1465">
        <v>43567</v>
      </c>
      <c r="L1510" s="1466" t="s">
        <v>2127</v>
      </c>
      <c r="M1510" s="1467">
        <v>2.462E-2</v>
      </c>
      <c r="N1510" s="1468">
        <v>1.5110785293696258</v>
      </c>
      <c r="O1510" s="1468"/>
    </row>
    <row r="1511" spans="11:15">
      <c r="K1511" s="1465">
        <v>43568</v>
      </c>
      <c r="L1511" s="1466"/>
      <c r="M1511" s="1467">
        <v>0</v>
      </c>
      <c r="N1511" s="1468">
        <v>1.5110785293696258</v>
      </c>
      <c r="O1511" s="1468"/>
    </row>
    <row r="1512" spans="11:15">
      <c r="K1512" s="1465">
        <v>43569</v>
      </c>
      <c r="L1512" s="1466"/>
      <c r="M1512" s="1467">
        <v>0</v>
      </c>
      <c r="N1512" s="1468">
        <v>1.5110785293696258</v>
      </c>
      <c r="O1512" s="1468"/>
    </row>
    <row r="1513" spans="11:15">
      <c r="K1513" s="1465">
        <v>43570</v>
      </c>
      <c r="L1513" s="1466" t="s">
        <v>2127</v>
      </c>
      <c r="M1513" s="1467">
        <v>2.462E-2</v>
      </c>
      <c r="N1513" s="1468">
        <v>1.5114505569035568</v>
      </c>
      <c r="O1513" s="1468"/>
    </row>
    <row r="1514" spans="11:15">
      <c r="K1514" s="1465">
        <v>43571</v>
      </c>
      <c r="L1514" s="1466" t="s">
        <v>2127</v>
      </c>
      <c r="M1514" s="1467">
        <v>2.462E-2</v>
      </c>
      <c r="N1514" s="1468">
        <v>1.5118226760306666</v>
      </c>
      <c r="O1514" s="1468"/>
    </row>
    <row r="1515" spans="11:15">
      <c r="K1515" s="1465">
        <v>43572</v>
      </c>
      <c r="L1515" s="1466" t="s">
        <v>2127</v>
      </c>
      <c r="M1515" s="1467">
        <v>2.462E-2</v>
      </c>
      <c r="N1515" s="1468">
        <v>1.5121948867735053</v>
      </c>
      <c r="O1515" s="1468"/>
    </row>
    <row r="1516" spans="11:15">
      <c r="K1516" s="1465">
        <v>43573</v>
      </c>
      <c r="L1516" s="1466" t="s">
        <v>2127</v>
      </c>
      <c r="M1516" s="1467">
        <v>2.462E-2</v>
      </c>
      <c r="N1516" s="1468">
        <v>1.5125671891546291</v>
      </c>
      <c r="O1516" s="1468"/>
    </row>
    <row r="1517" spans="11:15">
      <c r="K1517" s="1465">
        <v>43574</v>
      </c>
      <c r="L1517" s="1466"/>
      <c r="M1517" s="1467">
        <v>0</v>
      </c>
      <c r="N1517" s="1468">
        <v>1.5125671891546291</v>
      </c>
      <c r="O1517" s="1468"/>
    </row>
    <row r="1518" spans="11:15">
      <c r="K1518" s="1465">
        <v>43575</v>
      </c>
      <c r="L1518" s="1466"/>
      <c r="M1518" s="1467">
        <v>0</v>
      </c>
      <c r="N1518" s="1468">
        <v>1.5125671891546291</v>
      </c>
      <c r="O1518" s="1468"/>
    </row>
    <row r="1519" spans="11:15">
      <c r="K1519" s="1465">
        <v>43576</v>
      </c>
      <c r="L1519" s="1466"/>
      <c r="M1519" s="1467">
        <v>0</v>
      </c>
      <c r="N1519" s="1468">
        <v>1.5125671891546291</v>
      </c>
      <c r="O1519" s="1468"/>
    </row>
    <row r="1520" spans="11:15">
      <c r="K1520" s="1465">
        <v>43577</v>
      </c>
      <c r="L1520" s="1466" t="s">
        <v>2127</v>
      </c>
      <c r="M1520" s="1467">
        <v>2.462E-2</v>
      </c>
      <c r="N1520" s="1468">
        <v>1.512939583196599</v>
      </c>
      <c r="O1520" s="1468"/>
    </row>
    <row r="1521" spans="11:15">
      <c r="K1521" s="1465">
        <v>43578</v>
      </c>
      <c r="L1521" s="1466" t="s">
        <v>2127</v>
      </c>
      <c r="M1521" s="1467">
        <v>2.462E-2</v>
      </c>
      <c r="N1521" s="1468">
        <v>1.5133120689219821</v>
      </c>
      <c r="O1521" s="1468"/>
    </row>
    <row r="1522" spans="11:15">
      <c r="K1522" s="1465">
        <v>43579</v>
      </c>
      <c r="L1522" s="1466" t="s">
        <v>2127</v>
      </c>
      <c r="M1522" s="1467">
        <v>2.462E-2</v>
      </c>
      <c r="N1522" s="1468">
        <v>1.5136846463533509</v>
      </c>
      <c r="O1522" s="1468"/>
    </row>
    <row r="1523" spans="11:15">
      <c r="K1523" s="1465">
        <v>43580</v>
      </c>
      <c r="L1523" s="1466" t="s">
        <v>2127</v>
      </c>
      <c r="M1523" s="1467">
        <v>2.462E-2</v>
      </c>
      <c r="N1523" s="1468">
        <v>1.5140573155132833</v>
      </c>
      <c r="O1523" s="1468"/>
    </row>
    <row r="1524" spans="11:15">
      <c r="K1524" s="1465">
        <v>43581</v>
      </c>
      <c r="L1524" s="1466" t="s">
        <v>2127</v>
      </c>
      <c r="M1524" s="1467">
        <v>2.462E-2</v>
      </c>
      <c r="N1524" s="1468">
        <v>1.5144300764243628</v>
      </c>
      <c r="O1524" s="1468"/>
    </row>
    <row r="1525" spans="11:15">
      <c r="K1525" s="1465">
        <v>43582</v>
      </c>
      <c r="L1525" s="1466"/>
      <c r="M1525" s="1467">
        <v>0</v>
      </c>
      <c r="N1525" s="1468">
        <v>1.5144300764243628</v>
      </c>
      <c r="O1525" s="1468"/>
    </row>
    <row r="1526" spans="11:15">
      <c r="K1526" s="1465">
        <v>43583</v>
      </c>
      <c r="L1526" s="1466"/>
      <c r="M1526" s="1467">
        <v>0</v>
      </c>
      <c r="N1526" s="1468">
        <v>1.5144300764243628</v>
      </c>
      <c r="O1526" s="1468"/>
    </row>
    <row r="1527" spans="11:15">
      <c r="K1527" s="1465">
        <v>43584</v>
      </c>
      <c r="L1527" s="1466" t="s">
        <v>2127</v>
      </c>
      <c r="M1527" s="1467">
        <v>2.462E-2</v>
      </c>
      <c r="N1527" s="1468">
        <v>1.5148029291091787</v>
      </c>
      <c r="O1527" s="1468"/>
    </row>
    <row r="1528" spans="11:15">
      <c r="K1528" s="1465">
        <v>43585</v>
      </c>
      <c r="L1528" s="1466" t="s">
        <v>2127</v>
      </c>
      <c r="M1528" s="1467">
        <v>2.462E-2</v>
      </c>
      <c r="N1528" s="1468">
        <v>1.5151758735903256</v>
      </c>
      <c r="O1528" s="1468"/>
    </row>
    <row r="1529" spans="11:15">
      <c r="K1529" s="1465">
        <v>43586</v>
      </c>
      <c r="L1529" s="1466"/>
      <c r="M1529" s="1467">
        <v>0</v>
      </c>
      <c r="N1529" s="1468">
        <v>1.5151758735903256</v>
      </c>
      <c r="O1529" s="1468"/>
    </row>
    <row r="1530" spans="11:15">
      <c r="K1530" s="1465">
        <v>43587</v>
      </c>
      <c r="L1530" s="1466" t="s">
        <v>2127</v>
      </c>
      <c r="M1530" s="1467">
        <v>2.462E-2</v>
      </c>
      <c r="N1530" s="1468">
        <v>1.5155489098904036</v>
      </c>
      <c r="O1530" s="1468"/>
    </row>
    <row r="1531" spans="11:15">
      <c r="K1531" s="1465">
        <v>43588</v>
      </c>
      <c r="L1531" s="1466" t="s">
        <v>2127</v>
      </c>
      <c r="M1531" s="1467">
        <v>2.462E-2</v>
      </c>
      <c r="N1531" s="1468">
        <v>1.5159220380320186</v>
      </c>
      <c r="O1531" s="1468"/>
    </row>
    <row r="1532" spans="11:15">
      <c r="K1532" s="1465">
        <v>43589</v>
      </c>
      <c r="L1532" s="1466"/>
      <c r="M1532" s="1467">
        <v>0</v>
      </c>
      <c r="N1532" s="1468">
        <v>1.5159220380320186</v>
      </c>
      <c r="O1532" s="1468"/>
    </row>
    <row r="1533" spans="11:15">
      <c r="K1533" s="1465">
        <v>43590</v>
      </c>
      <c r="L1533" s="1466"/>
      <c r="M1533" s="1467">
        <v>0</v>
      </c>
      <c r="N1533" s="1468">
        <v>1.5159220380320186</v>
      </c>
      <c r="O1533" s="1468"/>
    </row>
    <row r="1534" spans="11:15">
      <c r="K1534" s="1465">
        <v>43591</v>
      </c>
      <c r="L1534" s="1466" t="s">
        <v>2127</v>
      </c>
      <c r="M1534" s="1467">
        <v>2.462E-2</v>
      </c>
      <c r="N1534" s="1468">
        <v>1.5162952580377822</v>
      </c>
      <c r="O1534" s="1468"/>
    </row>
    <row r="1535" spans="11:15">
      <c r="K1535" s="1465">
        <v>43592</v>
      </c>
      <c r="L1535" s="1466" t="s">
        <v>2127</v>
      </c>
      <c r="M1535" s="1467">
        <v>2.462E-2</v>
      </c>
      <c r="N1535" s="1468">
        <v>1.5166685699303113</v>
      </c>
      <c r="O1535" s="1468"/>
    </row>
    <row r="1536" spans="11:15">
      <c r="K1536" s="1465">
        <v>43593</v>
      </c>
      <c r="L1536" s="1466" t="s">
        <v>2127</v>
      </c>
      <c r="M1536" s="1467">
        <v>2.462E-2</v>
      </c>
      <c r="N1536" s="1468">
        <v>1.5170419737322283</v>
      </c>
      <c r="O1536" s="1468"/>
    </row>
    <row r="1537" spans="11:15">
      <c r="K1537" s="1465">
        <v>43594</v>
      </c>
      <c r="L1537" s="1466" t="s">
        <v>2127</v>
      </c>
      <c r="M1537" s="1467">
        <v>2.462E-2</v>
      </c>
      <c r="N1537" s="1468">
        <v>1.5174154694661612</v>
      </c>
      <c r="O1537" s="1468"/>
    </row>
    <row r="1538" spans="11:15">
      <c r="K1538" s="1465">
        <v>43595</v>
      </c>
      <c r="L1538" s="1466" t="s">
        <v>2127</v>
      </c>
      <c r="M1538" s="1467">
        <v>2.462E-2</v>
      </c>
      <c r="N1538" s="1468">
        <v>1.5177890571547439</v>
      </c>
      <c r="O1538" s="1468"/>
    </row>
    <row r="1539" spans="11:15">
      <c r="K1539" s="1465">
        <v>43596</v>
      </c>
      <c r="L1539" s="1466"/>
      <c r="M1539" s="1467">
        <v>0</v>
      </c>
      <c r="N1539" s="1468">
        <v>1.5177890571547439</v>
      </c>
      <c r="O1539" s="1468"/>
    </row>
    <row r="1540" spans="11:15">
      <c r="K1540" s="1465">
        <v>43597</v>
      </c>
      <c r="L1540" s="1466"/>
      <c r="M1540" s="1467">
        <v>0</v>
      </c>
      <c r="N1540" s="1468">
        <v>1.5177890571547439</v>
      </c>
      <c r="O1540" s="1468"/>
    </row>
    <row r="1541" spans="11:15">
      <c r="K1541" s="1465">
        <v>43598</v>
      </c>
      <c r="L1541" s="1466" t="s">
        <v>2127</v>
      </c>
      <c r="M1541" s="1467">
        <v>2.462E-2</v>
      </c>
      <c r="N1541" s="1468">
        <v>1.5181627368206154</v>
      </c>
      <c r="O1541" s="1468"/>
    </row>
    <row r="1542" spans="11:15">
      <c r="K1542" s="1465">
        <v>43599</v>
      </c>
      <c r="L1542" s="1466" t="s">
        <v>2127</v>
      </c>
      <c r="M1542" s="1467">
        <v>2.462E-2</v>
      </c>
      <c r="N1542" s="1468">
        <v>1.5185365084864209</v>
      </c>
      <c r="O1542" s="1468"/>
    </row>
    <row r="1543" spans="11:15">
      <c r="K1543" s="1465">
        <v>43600</v>
      </c>
      <c r="L1543" s="1466" t="s">
        <v>2127</v>
      </c>
      <c r="M1543" s="1467">
        <v>2.462E-2</v>
      </c>
      <c r="N1543" s="1468">
        <v>1.5189103721748103</v>
      </c>
      <c r="O1543" s="1468"/>
    </row>
    <row r="1544" spans="11:15">
      <c r="K1544" s="1465">
        <v>43601</v>
      </c>
      <c r="L1544" s="1466" t="s">
        <v>2127</v>
      </c>
      <c r="M1544" s="1467">
        <v>2.462E-2</v>
      </c>
      <c r="N1544" s="1468">
        <v>1.5192843279084398</v>
      </c>
      <c r="O1544" s="1468"/>
    </row>
    <row r="1545" spans="11:15">
      <c r="K1545" s="1465">
        <v>43602</v>
      </c>
      <c r="L1545" s="1466" t="s">
        <v>2127</v>
      </c>
      <c r="M1545" s="1467">
        <v>2.462E-2</v>
      </c>
      <c r="N1545" s="1468">
        <v>1.5196583757099711</v>
      </c>
      <c r="O1545" s="1468"/>
    </row>
    <row r="1546" spans="11:15">
      <c r="K1546" s="1465">
        <v>43603</v>
      </c>
      <c r="L1546" s="1466"/>
      <c r="M1546" s="1467">
        <v>0</v>
      </c>
      <c r="N1546" s="1468">
        <v>1.5196583757099711</v>
      </c>
      <c r="O1546" s="1468"/>
    </row>
    <row r="1547" spans="11:15">
      <c r="K1547" s="1465">
        <v>43604</v>
      </c>
      <c r="L1547" s="1466"/>
      <c r="M1547" s="1467">
        <v>0</v>
      </c>
      <c r="N1547" s="1468">
        <v>1.5196583757099711</v>
      </c>
      <c r="O1547" s="1468"/>
    </row>
    <row r="1548" spans="11:15">
      <c r="K1548" s="1465">
        <v>43605</v>
      </c>
      <c r="L1548" s="1466" t="s">
        <v>2127</v>
      </c>
      <c r="M1548" s="1467">
        <v>2.462E-2</v>
      </c>
      <c r="N1548" s="1468">
        <v>1.5200325156020711</v>
      </c>
      <c r="O1548" s="1468"/>
    </row>
    <row r="1549" spans="11:15">
      <c r="K1549" s="1465">
        <v>43606</v>
      </c>
      <c r="L1549" s="1466" t="s">
        <v>2127</v>
      </c>
      <c r="M1549" s="1467">
        <v>2.462E-2</v>
      </c>
      <c r="N1549" s="1468">
        <v>1.5204067476074123</v>
      </c>
      <c r="O1549" s="1468"/>
    </row>
    <row r="1550" spans="11:15">
      <c r="K1550" s="1465">
        <v>43607</v>
      </c>
      <c r="L1550" s="1466" t="s">
        <v>2127</v>
      </c>
      <c r="M1550" s="1467">
        <v>2.462E-2</v>
      </c>
      <c r="N1550" s="1468">
        <v>1.5207810717486734</v>
      </c>
      <c r="O1550" s="1468"/>
    </row>
    <row r="1551" spans="11:15">
      <c r="K1551" s="1465">
        <v>43608</v>
      </c>
      <c r="L1551" s="1466" t="s">
        <v>2127</v>
      </c>
      <c r="M1551" s="1467">
        <v>2.462E-2</v>
      </c>
      <c r="N1551" s="1468">
        <v>1.5211554880485381</v>
      </c>
      <c r="O1551" s="1468"/>
    </row>
    <row r="1552" spans="11:15">
      <c r="K1552" s="1465">
        <v>43609</v>
      </c>
      <c r="L1552" s="1466" t="s">
        <v>2127</v>
      </c>
      <c r="M1552" s="1467">
        <v>2.462E-2</v>
      </c>
      <c r="N1552" s="1468">
        <v>1.5215299965296958</v>
      </c>
      <c r="O1552" s="1468"/>
    </row>
    <row r="1553" spans="11:15">
      <c r="K1553" s="1465">
        <v>43610</v>
      </c>
      <c r="L1553" s="1466"/>
      <c r="M1553" s="1467">
        <v>0</v>
      </c>
      <c r="N1553" s="1468">
        <v>1.5215299965296958</v>
      </c>
      <c r="O1553" s="1468"/>
    </row>
    <row r="1554" spans="11:15">
      <c r="K1554" s="1465">
        <v>43611</v>
      </c>
      <c r="L1554" s="1466"/>
      <c r="M1554" s="1467">
        <v>0</v>
      </c>
      <c r="N1554" s="1468">
        <v>1.5215299965296958</v>
      </c>
      <c r="O1554" s="1468"/>
    </row>
    <row r="1555" spans="11:15">
      <c r="K1555" s="1465">
        <v>43612</v>
      </c>
      <c r="L1555" s="1466" t="s">
        <v>2127</v>
      </c>
      <c r="M1555" s="1467">
        <v>2.462E-2</v>
      </c>
      <c r="N1555" s="1468">
        <v>1.5219045972148415</v>
      </c>
      <c r="O1555" s="1468"/>
    </row>
    <row r="1556" spans="11:15">
      <c r="K1556" s="1465">
        <v>43613</v>
      </c>
      <c r="L1556" s="1466" t="s">
        <v>2127</v>
      </c>
      <c r="M1556" s="1467">
        <v>2.462E-2</v>
      </c>
      <c r="N1556" s="1468">
        <v>1.522279290126676</v>
      </c>
      <c r="O1556" s="1468"/>
    </row>
    <row r="1557" spans="11:15">
      <c r="K1557" s="1465">
        <v>43614</v>
      </c>
      <c r="L1557" s="1466" t="s">
        <v>2127</v>
      </c>
      <c r="M1557" s="1467">
        <v>2.462E-2</v>
      </c>
      <c r="N1557" s="1468">
        <v>1.5226540752879052</v>
      </c>
      <c r="O1557" s="1468"/>
    </row>
    <row r="1558" spans="11:15">
      <c r="K1558" s="1465">
        <v>43615</v>
      </c>
      <c r="L1558" s="1466" t="s">
        <v>2127</v>
      </c>
      <c r="M1558" s="1467">
        <v>2.462E-2</v>
      </c>
      <c r="N1558" s="1468">
        <v>1.5230289527212413</v>
      </c>
      <c r="O1558" s="1468"/>
    </row>
    <row r="1559" spans="11:15">
      <c r="K1559" s="1465">
        <v>43616</v>
      </c>
      <c r="L1559" s="1466" t="s">
        <v>2127</v>
      </c>
      <c r="M1559" s="1467">
        <v>2.462E-2</v>
      </c>
      <c r="N1559" s="1468">
        <v>1.5234039224494014</v>
      </c>
      <c r="O1559" s="1468"/>
    </row>
    <row r="1560" spans="11:15">
      <c r="K1560" s="1465">
        <v>43617</v>
      </c>
      <c r="L1560" s="1466"/>
      <c r="M1560" s="1467">
        <v>0</v>
      </c>
      <c r="N1560" s="1468">
        <v>1.5234039224494014</v>
      </c>
      <c r="O1560" s="1468"/>
    </row>
    <row r="1561" spans="11:15">
      <c r="K1561" s="1465">
        <v>43618</v>
      </c>
      <c r="L1561" s="1466"/>
      <c r="M1561" s="1467">
        <v>0</v>
      </c>
      <c r="N1561" s="1468">
        <v>1.5234039224494014</v>
      </c>
      <c r="O1561" s="1468"/>
    </row>
    <row r="1562" spans="11:15">
      <c r="K1562" s="1465">
        <v>43619</v>
      </c>
      <c r="L1562" s="1466" t="s">
        <v>2127</v>
      </c>
      <c r="M1562" s="1467">
        <v>2.462E-2</v>
      </c>
      <c r="N1562" s="1468">
        <v>1.5237789844951086</v>
      </c>
      <c r="O1562" s="1468"/>
    </row>
    <row r="1563" spans="11:15">
      <c r="K1563" s="1465">
        <v>43620</v>
      </c>
      <c r="L1563" s="1466" t="s">
        <v>2127</v>
      </c>
      <c r="M1563" s="1467">
        <v>2.462E-2</v>
      </c>
      <c r="N1563" s="1468">
        <v>1.5241541388810915</v>
      </c>
      <c r="O1563" s="1468"/>
    </row>
    <row r="1564" spans="11:15">
      <c r="K1564" s="1465">
        <v>43621</v>
      </c>
      <c r="L1564" s="1466" t="s">
        <v>2127</v>
      </c>
      <c r="M1564" s="1467">
        <v>2.462E-2</v>
      </c>
      <c r="N1564" s="1468">
        <v>1.5245293856300841</v>
      </c>
      <c r="O1564" s="1468"/>
    </row>
    <row r="1565" spans="11:15">
      <c r="K1565" s="1465">
        <v>43622</v>
      </c>
      <c r="L1565" s="1466" t="s">
        <v>2127</v>
      </c>
      <c r="M1565" s="1467">
        <v>2.462E-2</v>
      </c>
      <c r="N1565" s="1468">
        <v>1.5249047247648264</v>
      </c>
      <c r="O1565" s="1468"/>
    </row>
    <row r="1566" spans="11:15">
      <c r="K1566" s="1465">
        <v>43623</v>
      </c>
      <c r="L1566" s="1466" t="s">
        <v>2127</v>
      </c>
      <c r="M1566" s="1467">
        <v>2.462E-2</v>
      </c>
      <c r="N1566" s="1468">
        <v>1.5252801563080636</v>
      </c>
      <c r="O1566" s="1468"/>
    </row>
    <row r="1567" spans="11:15">
      <c r="K1567" s="1465">
        <v>43624</v>
      </c>
      <c r="L1567" s="1466"/>
      <c r="M1567" s="1467">
        <v>0</v>
      </c>
      <c r="N1567" s="1468">
        <v>1.5252801563080636</v>
      </c>
      <c r="O1567" s="1468"/>
    </row>
    <row r="1568" spans="11:15">
      <c r="K1568" s="1465">
        <v>43625</v>
      </c>
      <c r="L1568" s="1466"/>
      <c r="M1568" s="1467">
        <v>0</v>
      </c>
      <c r="N1568" s="1468">
        <v>1.5252801563080636</v>
      </c>
      <c r="O1568" s="1468"/>
    </row>
    <row r="1569" spans="11:15">
      <c r="K1569" s="1465">
        <v>43626</v>
      </c>
      <c r="L1569" s="1466" t="s">
        <v>2127</v>
      </c>
      <c r="M1569" s="1467">
        <v>2.462E-2</v>
      </c>
      <c r="N1569" s="1468">
        <v>1.5256556802825467</v>
      </c>
      <c r="O1569" s="1468"/>
    </row>
    <row r="1570" spans="11:15">
      <c r="K1570" s="1465">
        <v>43627</v>
      </c>
      <c r="L1570" s="1466" t="s">
        <v>2127</v>
      </c>
      <c r="M1570" s="1467">
        <v>2.462E-2</v>
      </c>
      <c r="N1570" s="1468">
        <v>1.5260312967110323</v>
      </c>
      <c r="O1570" s="1468"/>
    </row>
    <row r="1571" spans="11:15">
      <c r="K1571" s="1465">
        <v>43628</v>
      </c>
      <c r="L1571" s="1466" t="s">
        <v>2127</v>
      </c>
      <c r="M1571" s="1467">
        <v>2.462E-2</v>
      </c>
      <c r="N1571" s="1468">
        <v>1.5264070056162826</v>
      </c>
      <c r="O1571" s="1468"/>
    </row>
    <row r="1572" spans="11:15">
      <c r="K1572" s="1465">
        <v>43629</v>
      </c>
      <c r="L1572" s="1466" t="s">
        <v>2127</v>
      </c>
      <c r="M1572" s="1467">
        <v>2.462E-2</v>
      </c>
      <c r="N1572" s="1468">
        <v>1.5267828070210654</v>
      </c>
      <c r="O1572" s="1468"/>
    </row>
    <row r="1573" spans="11:15">
      <c r="K1573" s="1465">
        <v>43630</v>
      </c>
      <c r="L1573" s="1466" t="s">
        <v>2127</v>
      </c>
      <c r="M1573" s="1467">
        <v>2.462E-2</v>
      </c>
      <c r="N1573" s="1468">
        <v>1.5271587009481542</v>
      </c>
      <c r="O1573" s="1468"/>
    </row>
    <row r="1574" spans="11:15">
      <c r="K1574" s="1465">
        <v>43631</v>
      </c>
      <c r="L1574" s="1466"/>
      <c r="M1574" s="1467">
        <v>0</v>
      </c>
      <c r="N1574" s="1468">
        <v>1.5271587009481542</v>
      </c>
      <c r="O1574" s="1468"/>
    </row>
    <row r="1575" spans="11:15">
      <c r="K1575" s="1465">
        <v>43632</v>
      </c>
      <c r="L1575" s="1466"/>
      <c r="M1575" s="1467">
        <v>0</v>
      </c>
      <c r="N1575" s="1468">
        <v>1.5271587009481542</v>
      </c>
      <c r="O1575" s="1468"/>
    </row>
    <row r="1576" spans="11:15">
      <c r="K1576" s="1465">
        <v>43633</v>
      </c>
      <c r="L1576" s="1466" t="s">
        <v>2127</v>
      </c>
      <c r="M1576" s="1467">
        <v>2.462E-2</v>
      </c>
      <c r="N1576" s="1468">
        <v>1.5275346874203277</v>
      </c>
      <c r="O1576" s="1468"/>
    </row>
    <row r="1577" spans="11:15">
      <c r="K1577" s="1465">
        <v>43634</v>
      </c>
      <c r="L1577" s="1466" t="s">
        <v>2127</v>
      </c>
      <c r="M1577" s="1467">
        <v>2.462E-2</v>
      </c>
      <c r="N1577" s="1468">
        <v>1.5279107664603708</v>
      </c>
      <c r="O1577" s="1468"/>
    </row>
    <row r="1578" spans="11:15">
      <c r="K1578" s="1465">
        <v>43635</v>
      </c>
      <c r="L1578" s="1466" t="s">
        <v>2127</v>
      </c>
      <c r="M1578" s="1467">
        <v>2.462E-2</v>
      </c>
      <c r="N1578" s="1468">
        <v>1.5282869380910735</v>
      </c>
      <c r="O1578" s="1468"/>
    </row>
    <row r="1579" spans="11:15">
      <c r="K1579" s="1465">
        <v>43636</v>
      </c>
      <c r="L1579" s="1466"/>
      <c r="M1579" s="1467">
        <v>0</v>
      </c>
      <c r="N1579" s="1468">
        <v>1.5282869380910735</v>
      </c>
      <c r="O1579" s="1468"/>
    </row>
    <row r="1580" spans="11:15">
      <c r="K1580" s="1465">
        <v>43637</v>
      </c>
      <c r="L1580" s="1466" t="s">
        <v>2127</v>
      </c>
      <c r="M1580" s="1467">
        <v>2.462E-2</v>
      </c>
      <c r="N1580" s="1468">
        <v>1.5286632023352316</v>
      </c>
      <c r="O1580" s="1468"/>
    </row>
    <row r="1581" spans="11:15">
      <c r="K1581" s="1465">
        <v>43638</v>
      </c>
      <c r="L1581" s="1466"/>
      <c r="M1581" s="1467">
        <v>0</v>
      </c>
      <c r="N1581" s="1468">
        <v>1.5286632023352316</v>
      </c>
      <c r="O1581" s="1468"/>
    </row>
    <row r="1582" spans="11:15">
      <c r="K1582" s="1465">
        <v>43639</v>
      </c>
      <c r="L1582" s="1466"/>
      <c r="M1582" s="1467">
        <v>0</v>
      </c>
      <c r="N1582" s="1468">
        <v>1.5286632023352316</v>
      </c>
      <c r="O1582" s="1468"/>
    </row>
    <row r="1583" spans="11:15">
      <c r="K1583" s="1465">
        <v>43640</v>
      </c>
      <c r="L1583" s="1466" t="s">
        <v>2127</v>
      </c>
      <c r="M1583" s="1467">
        <v>2.462E-2</v>
      </c>
      <c r="N1583" s="1468">
        <v>1.5290395592156467</v>
      </c>
      <c r="O1583" s="1468"/>
    </row>
    <row r="1584" spans="11:15">
      <c r="K1584" s="1465">
        <v>43641</v>
      </c>
      <c r="L1584" s="1466" t="s">
        <v>2127</v>
      </c>
      <c r="M1584" s="1467">
        <v>2.462E-2</v>
      </c>
      <c r="N1584" s="1468">
        <v>1.5294160087551258</v>
      </c>
      <c r="O1584" s="1468"/>
    </row>
    <row r="1585" spans="11:15">
      <c r="K1585" s="1465">
        <v>43642</v>
      </c>
      <c r="L1585" s="1466" t="s">
        <v>2127</v>
      </c>
      <c r="M1585" s="1467">
        <v>2.462E-2</v>
      </c>
      <c r="N1585" s="1468">
        <v>1.5297925509764816</v>
      </c>
      <c r="O1585" s="1468"/>
    </row>
    <row r="1586" spans="11:15">
      <c r="K1586" s="1465">
        <v>43643</v>
      </c>
      <c r="L1586" s="1466" t="s">
        <v>2127</v>
      </c>
      <c r="M1586" s="1467">
        <v>2.462E-2</v>
      </c>
      <c r="N1586" s="1468">
        <v>1.5301691859025321</v>
      </c>
      <c r="O1586" s="1468"/>
    </row>
    <row r="1587" spans="11:15">
      <c r="K1587" s="1465">
        <v>43644</v>
      </c>
      <c r="L1587" s="1466" t="s">
        <v>2127</v>
      </c>
      <c r="M1587" s="1467">
        <v>2.462E-2</v>
      </c>
      <c r="N1587" s="1468">
        <v>1.5305459135561015</v>
      </c>
      <c r="O1587" s="1468"/>
    </row>
    <row r="1588" spans="11:15">
      <c r="K1588" s="1465">
        <v>43645</v>
      </c>
      <c r="L1588" s="1466"/>
      <c r="M1588" s="1467">
        <v>0</v>
      </c>
      <c r="N1588" s="1468">
        <v>1.5305459135561015</v>
      </c>
      <c r="O1588" s="1468"/>
    </row>
    <row r="1589" spans="11:15">
      <c r="K1589" s="1465">
        <v>43646</v>
      </c>
      <c r="L1589" s="1466"/>
      <c r="M1589" s="1467">
        <v>0</v>
      </c>
      <c r="N1589" s="1468">
        <v>1.5305459135561015</v>
      </c>
      <c r="O1589" s="1468"/>
    </row>
    <row r="1590" spans="11:15">
      <c r="K1590" s="1465">
        <v>43647</v>
      </c>
      <c r="L1590" s="1466" t="s">
        <v>2127</v>
      </c>
      <c r="M1590" s="1467">
        <v>2.462E-2</v>
      </c>
      <c r="N1590" s="1468">
        <v>1.5309227339600191</v>
      </c>
      <c r="O1590" s="1468"/>
    </row>
    <row r="1591" spans="11:15">
      <c r="K1591" s="1465">
        <v>43648</v>
      </c>
      <c r="L1591" s="1466" t="s">
        <v>2127</v>
      </c>
      <c r="M1591" s="1467">
        <v>2.462E-2</v>
      </c>
      <c r="N1591" s="1468">
        <v>1.5312996471371201</v>
      </c>
      <c r="O1591" s="1468"/>
    </row>
    <row r="1592" spans="11:15">
      <c r="K1592" s="1465">
        <v>43649</v>
      </c>
      <c r="L1592" s="1466" t="s">
        <v>2127</v>
      </c>
      <c r="M1592" s="1467">
        <v>2.462E-2</v>
      </c>
      <c r="N1592" s="1468">
        <v>1.5316766531102455</v>
      </c>
      <c r="O1592" s="1468"/>
    </row>
    <row r="1593" spans="11:15">
      <c r="K1593" s="1465">
        <v>43650</v>
      </c>
      <c r="L1593" s="1466" t="s">
        <v>2127</v>
      </c>
      <c r="M1593" s="1467">
        <v>2.462E-2</v>
      </c>
      <c r="N1593" s="1468">
        <v>1.5320537519022412</v>
      </c>
      <c r="O1593" s="1468"/>
    </row>
    <row r="1594" spans="11:15">
      <c r="K1594" s="1465">
        <v>43651</v>
      </c>
      <c r="L1594" s="1466" t="s">
        <v>2127</v>
      </c>
      <c r="M1594" s="1467">
        <v>2.462E-2</v>
      </c>
      <c r="N1594" s="1468">
        <v>1.5324309435359598</v>
      </c>
      <c r="O1594" s="1468"/>
    </row>
    <row r="1595" spans="11:15">
      <c r="K1595" s="1465">
        <v>43652</v>
      </c>
      <c r="L1595" s="1466"/>
      <c r="M1595" s="1467">
        <v>0</v>
      </c>
      <c r="N1595" s="1468">
        <v>1.5324309435359598</v>
      </c>
      <c r="O1595" s="1468"/>
    </row>
    <row r="1596" spans="11:15">
      <c r="K1596" s="1465">
        <v>43653</v>
      </c>
      <c r="L1596" s="1466"/>
      <c r="M1596" s="1467">
        <v>0</v>
      </c>
      <c r="N1596" s="1468">
        <v>1.5324309435359598</v>
      </c>
      <c r="O1596" s="1468"/>
    </row>
    <row r="1597" spans="11:15">
      <c r="K1597" s="1465">
        <v>43654</v>
      </c>
      <c r="L1597" s="1466" t="s">
        <v>2127</v>
      </c>
      <c r="M1597" s="1467">
        <v>2.462E-2</v>
      </c>
      <c r="N1597" s="1468">
        <v>1.5328082280342585</v>
      </c>
      <c r="O1597" s="1468"/>
    </row>
    <row r="1598" spans="11:15">
      <c r="K1598" s="1465">
        <v>43655</v>
      </c>
      <c r="L1598" s="1466" t="s">
        <v>2127</v>
      </c>
      <c r="M1598" s="1467">
        <v>2.462E-2</v>
      </c>
      <c r="N1598" s="1468">
        <v>1.5331856054200006</v>
      </c>
      <c r="O1598" s="1468"/>
    </row>
    <row r="1599" spans="11:15">
      <c r="K1599" s="1465">
        <v>43656</v>
      </c>
      <c r="L1599" s="1466" t="s">
        <v>2127</v>
      </c>
      <c r="M1599" s="1467">
        <v>2.462E-2</v>
      </c>
      <c r="N1599" s="1468">
        <v>1.5335630757160552</v>
      </c>
      <c r="O1599" s="1468"/>
    </row>
    <row r="1600" spans="11:15">
      <c r="K1600" s="1465">
        <v>43657</v>
      </c>
      <c r="L1600" s="1466" t="s">
        <v>2127</v>
      </c>
      <c r="M1600" s="1467">
        <v>2.462E-2</v>
      </c>
      <c r="N1600" s="1468">
        <v>1.5339406389452965</v>
      </c>
      <c r="O1600" s="1468"/>
    </row>
    <row r="1601" spans="11:15">
      <c r="K1601" s="1465">
        <v>43658</v>
      </c>
      <c r="L1601" s="1466" t="s">
        <v>2127</v>
      </c>
      <c r="M1601" s="1467">
        <v>2.462E-2</v>
      </c>
      <c r="N1601" s="1468">
        <v>1.5343182951306049</v>
      </c>
      <c r="O1601" s="1468"/>
    </row>
    <row r="1602" spans="11:15">
      <c r="K1602" s="1465">
        <v>43659</v>
      </c>
      <c r="L1602" s="1466"/>
      <c r="M1602" s="1467">
        <v>0</v>
      </c>
      <c r="N1602" s="1468">
        <v>1.5343182951306049</v>
      </c>
      <c r="O1602" s="1468"/>
    </row>
    <row r="1603" spans="11:15">
      <c r="K1603" s="1465">
        <v>43660</v>
      </c>
      <c r="L1603" s="1466"/>
      <c r="M1603" s="1467">
        <v>0</v>
      </c>
      <c r="N1603" s="1468">
        <v>1.5343182951306049</v>
      </c>
      <c r="O1603" s="1468"/>
    </row>
    <row r="1604" spans="11:15">
      <c r="K1604" s="1465">
        <v>43661</v>
      </c>
      <c r="L1604" s="1466" t="s">
        <v>2127</v>
      </c>
      <c r="M1604" s="1467">
        <v>2.462E-2</v>
      </c>
      <c r="N1604" s="1468">
        <v>1.5346960442948663</v>
      </c>
      <c r="O1604" s="1468"/>
    </row>
    <row r="1605" spans="11:15">
      <c r="K1605" s="1465">
        <v>43662</v>
      </c>
      <c r="L1605" s="1466" t="s">
        <v>2127</v>
      </c>
      <c r="M1605" s="1467">
        <v>2.462E-2</v>
      </c>
      <c r="N1605" s="1468">
        <v>1.5350738864609719</v>
      </c>
      <c r="O1605" s="1468"/>
    </row>
    <row r="1606" spans="11:15">
      <c r="K1606" s="1465">
        <v>43663</v>
      </c>
      <c r="L1606" s="1466" t="s">
        <v>2127</v>
      </c>
      <c r="M1606" s="1467">
        <v>2.462E-2</v>
      </c>
      <c r="N1606" s="1468">
        <v>1.5354518216518187</v>
      </c>
      <c r="O1606" s="1468"/>
    </row>
    <row r="1607" spans="11:15">
      <c r="K1607" s="1465">
        <v>43664</v>
      </c>
      <c r="L1607" s="1466" t="s">
        <v>2127</v>
      </c>
      <c r="M1607" s="1467">
        <v>2.462E-2</v>
      </c>
      <c r="N1607" s="1468">
        <v>1.5358298498903096</v>
      </c>
      <c r="O1607" s="1468"/>
    </row>
    <row r="1608" spans="11:15">
      <c r="K1608" s="1465">
        <v>43665</v>
      </c>
      <c r="L1608" s="1466" t="s">
        <v>2127</v>
      </c>
      <c r="M1608" s="1467">
        <v>2.462E-2</v>
      </c>
      <c r="N1608" s="1468">
        <v>1.5362079711993526</v>
      </c>
      <c r="O1608" s="1468"/>
    </row>
    <row r="1609" spans="11:15">
      <c r="K1609" s="1465">
        <v>43666</v>
      </c>
      <c r="L1609" s="1466"/>
      <c r="M1609" s="1467">
        <v>0</v>
      </c>
      <c r="N1609" s="1468">
        <v>1.5362079711993526</v>
      </c>
      <c r="O1609" s="1468"/>
    </row>
    <row r="1610" spans="11:15">
      <c r="K1610" s="1465">
        <v>43667</v>
      </c>
      <c r="L1610" s="1466"/>
      <c r="M1610" s="1467">
        <v>0</v>
      </c>
      <c r="N1610" s="1468">
        <v>1.5362079711993526</v>
      </c>
      <c r="O1610" s="1468"/>
    </row>
    <row r="1611" spans="11:15">
      <c r="K1611" s="1465">
        <v>43668</v>
      </c>
      <c r="L1611" s="1466" t="s">
        <v>2127</v>
      </c>
      <c r="M1611" s="1467">
        <v>2.462E-2</v>
      </c>
      <c r="N1611" s="1468">
        <v>1.5365861856018621</v>
      </c>
      <c r="O1611" s="1468"/>
    </row>
    <row r="1612" spans="11:15">
      <c r="K1612" s="1465">
        <v>43669</v>
      </c>
      <c r="L1612" s="1466" t="s">
        <v>2127</v>
      </c>
      <c r="M1612" s="1467">
        <v>2.462E-2</v>
      </c>
      <c r="N1612" s="1468">
        <v>1.5369644931207573</v>
      </c>
      <c r="O1612" s="1468"/>
    </row>
    <row r="1613" spans="11:15">
      <c r="K1613" s="1465">
        <v>43670</v>
      </c>
      <c r="L1613" s="1466" t="s">
        <v>2127</v>
      </c>
      <c r="M1613" s="1467">
        <v>2.462E-2</v>
      </c>
      <c r="N1613" s="1468">
        <v>1.5373428937789637</v>
      </c>
      <c r="O1613" s="1468"/>
    </row>
    <row r="1614" spans="11:15">
      <c r="K1614" s="1465">
        <v>43671</v>
      </c>
      <c r="L1614" s="1466" t="s">
        <v>2127</v>
      </c>
      <c r="M1614" s="1467">
        <v>2.462E-2</v>
      </c>
      <c r="N1614" s="1468">
        <v>1.5377213875994122</v>
      </c>
      <c r="O1614" s="1468"/>
    </row>
    <row r="1615" spans="11:15">
      <c r="K1615" s="1465">
        <v>43672</v>
      </c>
      <c r="L1615" s="1466" t="s">
        <v>2127</v>
      </c>
      <c r="M1615" s="1467">
        <v>2.462E-2</v>
      </c>
      <c r="N1615" s="1468">
        <v>1.5380999746050394</v>
      </c>
      <c r="O1615" s="1468"/>
    </row>
    <row r="1616" spans="11:15">
      <c r="K1616" s="1465">
        <v>43673</v>
      </c>
      <c r="L1616" s="1466"/>
      <c r="M1616" s="1467">
        <v>0</v>
      </c>
      <c r="N1616" s="1468">
        <v>1.5380999746050394</v>
      </c>
      <c r="O1616" s="1468"/>
    </row>
    <row r="1617" spans="11:15">
      <c r="K1617" s="1465">
        <v>43674</v>
      </c>
      <c r="L1617" s="1466"/>
      <c r="M1617" s="1467">
        <v>0</v>
      </c>
      <c r="N1617" s="1468">
        <v>1.5380999746050394</v>
      </c>
      <c r="O1617" s="1468"/>
    </row>
    <row r="1618" spans="11:15">
      <c r="K1618" s="1465">
        <v>43675</v>
      </c>
      <c r="L1618" s="1466" t="s">
        <v>2127</v>
      </c>
      <c r="M1618" s="1467">
        <v>2.462E-2</v>
      </c>
      <c r="N1618" s="1468">
        <v>1.5384786548187874</v>
      </c>
      <c r="O1618" s="1468"/>
    </row>
    <row r="1619" spans="11:15">
      <c r="K1619" s="1465">
        <v>43676</v>
      </c>
      <c r="L1619" s="1466" t="s">
        <v>2127</v>
      </c>
      <c r="M1619" s="1467">
        <v>2.462E-2</v>
      </c>
      <c r="N1619" s="1468">
        <v>1.5388574282636041</v>
      </c>
      <c r="O1619" s="1468"/>
    </row>
    <row r="1620" spans="11:15">
      <c r="K1620" s="1465">
        <v>43677</v>
      </c>
      <c r="L1620" s="1466" t="s">
        <v>2127</v>
      </c>
      <c r="M1620" s="1467">
        <v>2.462E-2</v>
      </c>
      <c r="N1620" s="1468">
        <v>1.5392362949624427</v>
      </c>
      <c r="O1620" s="1468"/>
    </row>
    <row r="1621" spans="11:15">
      <c r="K1621" s="1465">
        <v>43678</v>
      </c>
      <c r="L1621" s="1466" t="s">
        <v>2127</v>
      </c>
      <c r="M1621" s="1467">
        <v>2.2751E-2</v>
      </c>
      <c r="N1621" s="1468">
        <v>1.5395864866119096</v>
      </c>
      <c r="O1621" s="1468"/>
    </row>
    <row r="1622" spans="11:15">
      <c r="K1622" s="1465">
        <v>43679</v>
      </c>
      <c r="L1622" s="1466" t="s">
        <v>2127</v>
      </c>
      <c r="M1622" s="1467">
        <v>2.2751E-2</v>
      </c>
      <c r="N1622" s="1468">
        <v>1.5399367579334786</v>
      </c>
      <c r="O1622" s="1468"/>
    </row>
    <row r="1623" spans="11:15">
      <c r="K1623" s="1465">
        <v>43680</v>
      </c>
      <c r="L1623" s="1466"/>
      <c r="M1623" s="1467">
        <v>0</v>
      </c>
      <c r="N1623" s="1468">
        <v>1.5399367579334786</v>
      </c>
      <c r="O1623" s="1468"/>
    </row>
    <row r="1624" spans="11:15">
      <c r="K1624" s="1465">
        <v>43681</v>
      </c>
      <c r="L1624" s="1466"/>
      <c r="M1624" s="1467">
        <v>0</v>
      </c>
      <c r="N1624" s="1468">
        <v>1.5399367579334786</v>
      </c>
      <c r="O1624" s="1468"/>
    </row>
    <row r="1625" spans="11:15">
      <c r="K1625" s="1465">
        <v>43682</v>
      </c>
      <c r="L1625" s="1466" t="s">
        <v>2127</v>
      </c>
      <c r="M1625" s="1467">
        <v>2.2751E-2</v>
      </c>
      <c r="N1625" s="1468">
        <v>1.5402871089452761</v>
      </c>
      <c r="O1625" s="1468"/>
    </row>
    <row r="1626" spans="11:15">
      <c r="K1626" s="1465">
        <v>43683</v>
      </c>
      <c r="L1626" s="1466" t="s">
        <v>2127</v>
      </c>
      <c r="M1626" s="1467">
        <v>2.2751E-2</v>
      </c>
      <c r="N1626" s="1468">
        <v>1.5406375396654322</v>
      </c>
      <c r="O1626" s="1468"/>
    </row>
    <row r="1627" spans="11:15">
      <c r="K1627" s="1465">
        <v>43684</v>
      </c>
      <c r="L1627" s="1466" t="s">
        <v>2127</v>
      </c>
      <c r="M1627" s="1467">
        <v>2.2751E-2</v>
      </c>
      <c r="N1627" s="1468">
        <v>1.5409880501120814</v>
      </c>
      <c r="O1627" s="1468"/>
    </row>
    <row r="1628" spans="11:15">
      <c r="K1628" s="1465">
        <v>43685</v>
      </c>
      <c r="L1628" s="1466" t="s">
        <v>2127</v>
      </c>
      <c r="M1628" s="1467">
        <v>2.2751E-2</v>
      </c>
      <c r="N1628" s="1468">
        <v>1.5413386403033624</v>
      </c>
      <c r="O1628" s="1468"/>
    </row>
    <row r="1629" spans="11:15">
      <c r="K1629" s="1465">
        <v>43686</v>
      </c>
      <c r="L1629" s="1466" t="s">
        <v>2127</v>
      </c>
      <c r="M1629" s="1467">
        <v>2.2751E-2</v>
      </c>
      <c r="N1629" s="1468">
        <v>1.5416893102574178</v>
      </c>
      <c r="O1629" s="1468"/>
    </row>
    <row r="1630" spans="11:15">
      <c r="K1630" s="1465">
        <v>43687</v>
      </c>
      <c r="L1630" s="1466"/>
      <c r="M1630" s="1467">
        <v>0</v>
      </c>
      <c r="N1630" s="1468">
        <v>1.5416893102574178</v>
      </c>
      <c r="O1630" s="1468"/>
    </row>
    <row r="1631" spans="11:15">
      <c r="K1631" s="1465">
        <v>43688</v>
      </c>
      <c r="L1631" s="1466"/>
      <c r="M1631" s="1467">
        <v>0</v>
      </c>
      <c r="N1631" s="1468">
        <v>1.5416893102574178</v>
      </c>
      <c r="O1631" s="1468"/>
    </row>
    <row r="1632" spans="11:15">
      <c r="K1632" s="1465">
        <v>43689</v>
      </c>
      <c r="L1632" s="1466" t="s">
        <v>2127</v>
      </c>
      <c r="M1632" s="1467">
        <v>2.2751E-2</v>
      </c>
      <c r="N1632" s="1468">
        <v>1.5420400599923945</v>
      </c>
      <c r="O1632" s="1468"/>
    </row>
    <row r="1633" spans="11:15">
      <c r="K1633" s="1465">
        <v>43690</v>
      </c>
      <c r="L1633" s="1466" t="s">
        <v>2127</v>
      </c>
      <c r="M1633" s="1467">
        <v>2.2751E-2</v>
      </c>
      <c r="N1633" s="1468">
        <v>1.5423908895264433</v>
      </c>
      <c r="O1633" s="1468"/>
    </row>
    <row r="1634" spans="11:15">
      <c r="K1634" s="1465">
        <v>43691</v>
      </c>
      <c r="L1634" s="1466" t="s">
        <v>2127</v>
      </c>
      <c r="M1634" s="1467">
        <v>2.2751E-2</v>
      </c>
      <c r="N1634" s="1468">
        <v>1.5427417988777195</v>
      </c>
      <c r="O1634" s="1468"/>
    </row>
    <row r="1635" spans="11:15">
      <c r="K1635" s="1465">
        <v>43692</v>
      </c>
      <c r="L1635" s="1466" t="s">
        <v>2127</v>
      </c>
      <c r="M1635" s="1467">
        <v>2.2751E-2</v>
      </c>
      <c r="N1635" s="1468">
        <v>1.5430927880643821</v>
      </c>
      <c r="O1635" s="1468"/>
    </row>
    <row r="1636" spans="11:15">
      <c r="K1636" s="1465">
        <v>43693</v>
      </c>
      <c r="L1636" s="1466" t="s">
        <v>2127</v>
      </c>
      <c r="M1636" s="1467">
        <v>2.2751E-2</v>
      </c>
      <c r="N1636" s="1468">
        <v>1.5434438571045945</v>
      </c>
      <c r="O1636" s="1468"/>
    </row>
    <row r="1637" spans="11:15">
      <c r="K1637" s="1465">
        <v>43694</v>
      </c>
      <c r="L1637" s="1466"/>
      <c r="M1637" s="1467">
        <v>0</v>
      </c>
      <c r="N1637" s="1468">
        <v>1.5434438571045945</v>
      </c>
      <c r="O1637" s="1468"/>
    </row>
    <row r="1638" spans="11:15">
      <c r="K1638" s="1465">
        <v>43695</v>
      </c>
      <c r="L1638" s="1466"/>
      <c r="M1638" s="1467">
        <v>0</v>
      </c>
      <c r="N1638" s="1468">
        <v>1.5434438571045945</v>
      </c>
      <c r="O1638" s="1468"/>
    </row>
    <row r="1639" spans="11:15">
      <c r="K1639" s="1465">
        <v>43696</v>
      </c>
      <c r="L1639" s="1466" t="s">
        <v>2127</v>
      </c>
      <c r="M1639" s="1467">
        <v>2.2751E-2</v>
      </c>
      <c r="N1639" s="1468">
        <v>1.5437950060165244</v>
      </c>
      <c r="O1639" s="1468"/>
    </row>
    <row r="1640" spans="11:15">
      <c r="K1640" s="1465">
        <v>43697</v>
      </c>
      <c r="L1640" s="1466" t="s">
        <v>2127</v>
      </c>
      <c r="M1640" s="1467">
        <v>2.2751E-2</v>
      </c>
      <c r="N1640" s="1468">
        <v>1.5441462348183432</v>
      </c>
      <c r="O1640" s="1468"/>
    </row>
    <row r="1641" spans="11:15">
      <c r="K1641" s="1465">
        <v>43698</v>
      </c>
      <c r="L1641" s="1466" t="s">
        <v>2127</v>
      </c>
      <c r="M1641" s="1467">
        <v>2.2751E-2</v>
      </c>
      <c r="N1641" s="1468">
        <v>1.5444975435282267</v>
      </c>
      <c r="O1641" s="1468"/>
    </row>
    <row r="1642" spans="11:15">
      <c r="K1642" s="1465">
        <v>43699</v>
      </c>
      <c r="L1642" s="1466" t="s">
        <v>2127</v>
      </c>
      <c r="M1642" s="1467">
        <v>2.2751E-2</v>
      </c>
      <c r="N1642" s="1468">
        <v>1.5448489321643548</v>
      </c>
      <c r="O1642" s="1468"/>
    </row>
    <row r="1643" spans="11:15">
      <c r="K1643" s="1465">
        <v>43700</v>
      </c>
      <c r="L1643" s="1466" t="s">
        <v>2127</v>
      </c>
      <c r="M1643" s="1467">
        <v>2.2751E-2</v>
      </c>
      <c r="N1643" s="1468">
        <v>1.5452004007449116</v>
      </c>
      <c r="O1643" s="1468"/>
    </row>
    <row r="1644" spans="11:15">
      <c r="K1644" s="1465">
        <v>43701</v>
      </c>
      <c r="L1644" s="1466"/>
      <c r="M1644" s="1467">
        <v>0</v>
      </c>
      <c r="N1644" s="1468">
        <v>1.5452004007449116</v>
      </c>
      <c r="O1644" s="1468"/>
    </row>
    <row r="1645" spans="11:15">
      <c r="K1645" s="1465">
        <v>43702</v>
      </c>
      <c r="L1645" s="1466"/>
      <c r="M1645" s="1467">
        <v>0</v>
      </c>
      <c r="N1645" s="1468">
        <v>1.5452004007449116</v>
      </c>
      <c r="O1645" s="1468"/>
    </row>
    <row r="1646" spans="11:15">
      <c r="K1646" s="1465">
        <v>43703</v>
      </c>
      <c r="L1646" s="1466" t="s">
        <v>2127</v>
      </c>
      <c r="M1646" s="1467">
        <v>2.2751E-2</v>
      </c>
      <c r="N1646" s="1468">
        <v>1.5455519492880851</v>
      </c>
      <c r="O1646" s="1468"/>
    </row>
    <row r="1647" spans="11:15">
      <c r="K1647" s="1465">
        <v>43704</v>
      </c>
      <c r="L1647" s="1466" t="s">
        <v>2127</v>
      </c>
      <c r="M1647" s="1467">
        <v>2.2751E-2</v>
      </c>
      <c r="N1647" s="1468">
        <v>1.5459035778120676</v>
      </c>
      <c r="O1647" s="1468"/>
    </row>
    <row r="1648" spans="11:15">
      <c r="K1648" s="1465">
        <v>43705</v>
      </c>
      <c r="L1648" s="1466" t="s">
        <v>2127</v>
      </c>
      <c r="M1648" s="1467">
        <v>2.2751E-2</v>
      </c>
      <c r="N1648" s="1468">
        <v>1.5462552863350556</v>
      </c>
      <c r="O1648" s="1468"/>
    </row>
    <row r="1649" spans="11:15">
      <c r="K1649" s="1465">
        <v>43706</v>
      </c>
      <c r="L1649" s="1466" t="s">
        <v>2127</v>
      </c>
      <c r="M1649" s="1467">
        <v>2.2751E-2</v>
      </c>
      <c r="N1649" s="1468">
        <v>1.5466070748752496</v>
      </c>
      <c r="O1649" s="1468"/>
    </row>
    <row r="1650" spans="11:15">
      <c r="K1650" s="1465">
        <v>43707</v>
      </c>
      <c r="L1650" s="1466" t="s">
        <v>2127</v>
      </c>
      <c r="M1650" s="1467">
        <v>2.2751E-2</v>
      </c>
      <c r="N1650" s="1468">
        <v>1.5469589434508544</v>
      </c>
      <c r="O1650" s="1468"/>
    </row>
    <row r="1651" spans="11:15">
      <c r="K1651" s="1465">
        <v>43708</v>
      </c>
      <c r="L1651" s="1466"/>
      <c r="M1651" s="1467">
        <v>0</v>
      </c>
      <c r="N1651" s="1468">
        <v>1.5469589434508544</v>
      </c>
      <c r="O1651" s="1468"/>
    </row>
    <row r="1652" spans="11:15">
      <c r="K1652" s="1465">
        <v>43709</v>
      </c>
      <c r="L1652" s="1466"/>
      <c r="M1652" s="1467">
        <v>0</v>
      </c>
      <c r="N1652" s="1468">
        <v>1.5469589434508544</v>
      </c>
      <c r="O1652" s="1468"/>
    </row>
    <row r="1653" spans="11:15">
      <c r="K1653" s="1465">
        <v>43710</v>
      </c>
      <c r="L1653" s="1466" t="s">
        <v>2127</v>
      </c>
      <c r="M1653" s="1467">
        <v>2.2751E-2</v>
      </c>
      <c r="N1653" s="1468">
        <v>1.5473108920800789</v>
      </c>
      <c r="O1653" s="1468"/>
    </row>
    <row r="1654" spans="11:15">
      <c r="K1654" s="1465">
        <v>43711</v>
      </c>
      <c r="L1654" s="1466" t="s">
        <v>2127</v>
      </c>
      <c r="M1654" s="1467">
        <v>2.2751E-2</v>
      </c>
      <c r="N1654" s="1468">
        <v>1.5476629207811361</v>
      </c>
      <c r="O1654" s="1468"/>
    </row>
    <row r="1655" spans="11:15">
      <c r="K1655" s="1465">
        <v>43712</v>
      </c>
      <c r="L1655" s="1466" t="s">
        <v>2127</v>
      </c>
      <c r="M1655" s="1467">
        <v>2.2751E-2</v>
      </c>
      <c r="N1655" s="1468">
        <v>1.548015029572243</v>
      </c>
      <c r="O1655" s="1468"/>
    </row>
    <row r="1656" spans="11:15">
      <c r="K1656" s="1465">
        <v>43713</v>
      </c>
      <c r="L1656" s="1466" t="s">
        <v>2127</v>
      </c>
      <c r="M1656" s="1467">
        <v>2.2751E-2</v>
      </c>
      <c r="N1656" s="1468">
        <v>1.5483672184716211</v>
      </c>
      <c r="O1656" s="1468"/>
    </row>
    <row r="1657" spans="11:15">
      <c r="K1657" s="1465">
        <v>43714</v>
      </c>
      <c r="L1657" s="1466" t="s">
        <v>2127</v>
      </c>
      <c r="M1657" s="1467">
        <v>2.2751E-2</v>
      </c>
      <c r="N1657" s="1468">
        <v>1.5487194874974954</v>
      </c>
      <c r="O1657" s="1468"/>
    </row>
    <row r="1658" spans="11:15">
      <c r="K1658" s="1465">
        <v>43715</v>
      </c>
      <c r="L1658" s="1466"/>
      <c r="M1658" s="1467">
        <v>0</v>
      </c>
      <c r="N1658" s="1468">
        <v>1.5487194874974954</v>
      </c>
      <c r="O1658" s="1468"/>
    </row>
    <row r="1659" spans="11:15">
      <c r="K1659" s="1465">
        <v>43716</v>
      </c>
      <c r="L1659" s="1466"/>
      <c r="M1659" s="1467">
        <v>0</v>
      </c>
      <c r="N1659" s="1468">
        <v>1.5487194874974954</v>
      </c>
      <c r="O1659" s="1468"/>
    </row>
    <row r="1660" spans="11:15">
      <c r="K1660" s="1465">
        <v>43717</v>
      </c>
      <c r="L1660" s="1466" t="s">
        <v>2127</v>
      </c>
      <c r="M1660" s="1467">
        <v>2.2751E-2</v>
      </c>
      <c r="N1660" s="1468">
        <v>1.549071836668096</v>
      </c>
      <c r="O1660" s="1468"/>
    </row>
    <row r="1661" spans="11:15">
      <c r="K1661" s="1465">
        <v>43718</v>
      </c>
      <c r="L1661" s="1466" t="s">
        <v>2127</v>
      </c>
      <c r="M1661" s="1467">
        <v>2.2751E-2</v>
      </c>
      <c r="N1661" s="1468">
        <v>1.5494242660016564</v>
      </c>
      <c r="O1661" s="1468"/>
    </row>
    <row r="1662" spans="11:15">
      <c r="K1662" s="1465">
        <v>43719</v>
      </c>
      <c r="L1662" s="1466" t="s">
        <v>2127</v>
      </c>
      <c r="M1662" s="1467">
        <v>2.2751E-2</v>
      </c>
      <c r="N1662" s="1468">
        <v>1.5497767755164145</v>
      </c>
      <c r="O1662" s="1468"/>
    </row>
    <row r="1663" spans="11:15">
      <c r="K1663" s="1465">
        <v>43720</v>
      </c>
      <c r="L1663" s="1466" t="s">
        <v>2127</v>
      </c>
      <c r="M1663" s="1467">
        <v>2.2751E-2</v>
      </c>
      <c r="N1663" s="1468">
        <v>1.5501293652306123</v>
      </c>
      <c r="O1663" s="1468"/>
    </row>
    <row r="1664" spans="11:15">
      <c r="K1664" s="1465">
        <v>43721</v>
      </c>
      <c r="L1664" s="1466" t="s">
        <v>2127</v>
      </c>
      <c r="M1664" s="1467">
        <v>2.2751E-2</v>
      </c>
      <c r="N1664" s="1468">
        <v>1.5504820351624959</v>
      </c>
      <c r="O1664" s="1468"/>
    </row>
    <row r="1665" spans="11:15">
      <c r="K1665" s="1465">
        <v>43722</v>
      </c>
      <c r="L1665" s="1466"/>
      <c r="M1665" s="1467">
        <v>0</v>
      </c>
      <c r="N1665" s="1468">
        <v>1.5504820351624959</v>
      </c>
      <c r="O1665" s="1468"/>
    </row>
    <row r="1666" spans="11:15">
      <c r="K1666" s="1465">
        <v>43723</v>
      </c>
      <c r="L1666" s="1466"/>
      <c r="M1666" s="1467">
        <v>0</v>
      </c>
      <c r="N1666" s="1468">
        <v>1.5504820351624959</v>
      </c>
      <c r="O1666" s="1468"/>
    </row>
    <row r="1667" spans="11:15">
      <c r="K1667" s="1465">
        <v>43724</v>
      </c>
      <c r="L1667" s="1466" t="s">
        <v>2127</v>
      </c>
      <c r="M1667" s="1467">
        <v>2.2751E-2</v>
      </c>
      <c r="N1667" s="1468">
        <v>1.5508347853303157</v>
      </c>
      <c r="O1667" s="1468"/>
    </row>
    <row r="1668" spans="11:15">
      <c r="K1668" s="1465">
        <v>43725</v>
      </c>
      <c r="L1668" s="1466" t="s">
        <v>2127</v>
      </c>
      <c r="M1668" s="1467">
        <v>2.2751E-2</v>
      </c>
      <c r="N1668" s="1468">
        <v>1.5511876157523261</v>
      </c>
      <c r="O1668" s="1468"/>
    </row>
    <row r="1669" spans="11:15">
      <c r="K1669" s="1465">
        <v>43726</v>
      </c>
      <c r="L1669" s="1466" t="s">
        <v>2127</v>
      </c>
      <c r="M1669" s="1467">
        <v>2.2751E-2</v>
      </c>
      <c r="N1669" s="1468">
        <v>1.5515405264467859</v>
      </c>
      <c r="O1669" s="1468"/>
    </row>
    <row r="1670" spans="11:15">
      <c r="K1670" s="1465">
        <v>43727</v>
      </c>
      <c r="L1670" s="1466" t="s">
        <v>2127</v>
      </c>
      <c r="M1670" s="1467">
        <v>2.0872000000000002E-2</v>
      </c>
      <c r="N1670" s="1468">
        <v>1.5518643639854659</v>
      </c>
      <c r="O1670" s="1468"/>
    </row>
    <row r="1671" spans="11:15">
      <c r="K1671" s="1465">
        <v>43728</v>
      </c>
      <c r="L1671" s="1466" t="s">
        <v>2127</v>
      </c>
      <c r="M1671" s="1467">
        <v>2.0872000000000002E-2</v>
      </c>
      <c r="N1671" s="1468">
        <v>1.5521882691155171</v>
      </c>
      <c r="O1671" s="1468"/>
    </row>
    <row r="1672" spans="11:15">
      <c r="K1672" s="1465">
        <v>43729</v>
      </c>
      <c r="L1672" s="1466"/>
      <c r="M1672" s="1467">
        <v>0</v>
      </c>
      <c r="N1672" s="1468">
        <v>1.5521882691155171</v>
      </c>
      <c r="O1672" s="1468"/>
    </row>
    <row r="1673" spans="11:15">
      <c r="K1673" s="1465">
        <v>43730</v>
      </c>
      <c r="L1673" s="1466"/>
      <c r="M1673" s="1467">
        <v>0</v>
      </c>
      <c r="N1673" s="1468">
        <v>1.5521882691155171</v>
      </c>
      <c r="O1673" s="1468"/>
    </row>
    <row r="1674" spans="11:15">
      <c r="K1674" s="1465">
        <v>43731</v>
      </c>
      <c r="L1674" s="1466" t="s">
        <v>2127</v>
      </c>
      <c r="M1674" s="1467">
        <v>2.0872000000000002E-2</v>
      </c>
      <c r="N1674" s="1468">
        <v>1.5525122418510471</v>
      </c>
      <c r="O1674" s="1468"/>
    </row>
    <row r="1675" spans="11:15">
      <c r="K1675" s="1465">
        <v>43732</v>
      </c>
      <c r="L1675" s="1466" t="s">
        <v>2127</v>
      </c>
      <c r="M1675" s="1467">
        <v>2.0872000000000002E-2</v>
      </c>
      <c r="N1675" s="1468">
        <v>1.5528362822061663</v>
      </c>
      <c r="O1675" s="1468"/>
    </row>
    <row r="1676" spans="11:15">
      <c r="K1676" s="1465">
        <v>43733</v>
      </c>
      <c r="L1676" s="1466" t="s">
        <v>2127</v>
      </c>
      <c r="M1676" s="1467">
        <v>2.0872000000000002E-2</v>
      </c>
      <c r="N1676" s="1468">
        <v>1.5531603901949884</v>
      </c>
      <c r="O1676" s="1468"/>
    </row>
    <row r="1677" spans="11:15">
      <c r="K1677" s="1465">
        <v>43734</v>
      </c>
      <c r="L1677" s="1466" t="s">
        <v>2127</v>
      </c>
      <c r="M1677" s="1467">
        <v>2.0872000000000002E-2</v>
      </c>
      <c r="N1677" s="1468">
        <v>1.5534845658316301</v>
      </c>
      <c r="O1677" s="1468"/>
    </row>
    <row r="1678" spans="11:15">
      <c r="K1678" s="1465">
        <v>43735</v>
      </c>
      <c r="L1678" s="1466" t="s">
        <v>2127</v>
      </c>
      <c r="M1678" s="1467">
        <v>2.0872000000000002E-2</v>
      </c>
      <c r="N1678" s="1468">
        <v>1.5538088091302105</v>
      </c>
      <c r="O1678" s="1468"/>
    </row>
    <row r="1679" spans="11:15">
      <c r="K1679" s="1465">
        <v>43736</v>
      </c>
      <c r="L1679" s="1466"/>
      <c r="M1679" s="1467">
        <v>0</v>
      </c>
      <c r="N1679" s="1468">
        <v>1.5538088091302105</v>
      </c>
      <c r="O1679" s="1468"/>
    </row>
    <row r="1680" spans="11:15">
      <c r="K1680" s="1465">
        <v>43737</v>
      </c>
      <c r="L1680" s="1466"/>
      <c r="M1680" s="1467">
        <v>0</v>
      </c>
      <c r="N1680" s="1468">
        <v>1.5538088091302105</v>
      </c>
      <c r="O1680" s="1468"/>
    </row>
    <row r="1681" spans="11:15">
      <c r="K1681" s="1465">
        <v>43738</v>
      </c>
      <c r="L1681" s="1466" t="s">
        <v>2127</v>
      </c>
      <c r="M1681" s="1467">
        <v>2.0872000000000002E-2</v>
      </c>
      <c r="N1681" s="1468">
        <v>1.5541331201048523</v>
      </c>
      <c r="O1681" s="1468"/>
    </row>
    <row r="1682" spans="11:15">
      <c r="K1682" s="1465">
        <v>43739</v>
      </c>
      <c r="L1682" s="1466" t="s">
        <v>2127</v>
      </c>
      <c r="M1682" s="1467">
        <v>2.0872000000000002E-2</v>
      </c>
      <c r="N1682" s="1468">
        <v>1.5544574987696806</v>
      </c>
      <c r="O1682" s="1468"/>
    </row>
    <row r="1683" spans="11:15">
      <c r="K1683" s="1465">
        <v>43740</v>
      </c>
      <c r="L1683" s="1466" t="s">
        <v>2127</v>
      </c>
      <c r="M1683" s="1467">
        <v>2.0872000000000002E-2</v>
      </c>
      <c r="N1683" s="1468">
        <v>1.5547819451388238</v>
      </c>
      <c r="O1683" s="1468"/>
    </row>
    <row r="1684" spans="11:15">
      <c r="K1684" s="1465">
        <v>43741</v>
      </c>
      <c r="L1684" s="1466" t="s">
        <v>2127</v>
      </c>
      <c r="M1684" s="1467">
        <v>2.0872000000000002E-2</v>
      </c>
      <c r="N1684" s="1468">
        <v>1.5551064592264132</v>
      </c>
      <c r="O1684" s="1468"/>
    </row>
    <row r="1685" spans="11:15">
      <c r="K1685" s="1465">
        <v>43742</v>
      </c>
      <c r="L1685" s="1466" t="s">
        <v>2127</v>
      </c>
      <c r="M1685" s="1467">
        <v>2.0872000000000002E-2</v>
      </c>
      <c r="N1685" s="1468">
        <v>1.555431041046583</v>
      </c>
      <c r="O1685" s="1468"/>
    </row>
    <row r="1686" spans="11:15">
      <c r="K1686" s="1465">
        <v>43743</v>
      </c>
      <c r="L1686" s="1466"/>
      <c r="M1686" s="1467">
        <v>0</v>
      </c>
      <c r="N1686" s="1468">
        <v>1.555431041046583</v>
      </c>
      <c r="O1686" s="1468"/>
    </row>
    <row r="1687" spans="11:15">
      <c r="K1687" s="1465">
        <v>43744</v>
      </c>
      <c r="L1687" s="1466"/>
      <c r="M1687" s="1467">
        <v>0</v>
      </c>
      <c r="N1687" s="1468">
        <v>1.555431041046583</v>
      </c>
      <c r="O1687" s="1468"/>
    </row>
    <row r="1688" spans="11:15">
      <c r="K1688" s="1465">
        <v>43745</v>
      </c>
      <c r="L1688" s="1466" t="s">
        <v>2127</v>
      </c>
      <c r="M1688" s="1467">
        <v>2.0872000000000002E-2</v>
      </c>
      <c r="N1688" s="1468">
        <v>1.5557556906134704</v>
      </c>
      <c r="O1688" s="1468"/>
    </row>
    <row r="1689" spans="11:15">
      <c r="K1689" s="1465">
        <v>43746</v>
      </c>
      <c r="L1689" s="1466" t="s">
        <v>2127</v>
      </c>
      <c r="M1689" s="1467">
        <v>2.0872000000000002E-2</v>
      </c>
      <c r="N1689" s="1468">
        <v>1.5560804079412154</v>
      </c>
      <c r="O1689" s="1468"/>
    </row>
    <row r="1690" spans="11:15">
      <c r="K1690" s="1465">
        <v>43747</v>
      </c>
      <c r="L1690" s="1466" t="s">
        <v>2127</v>
      </c>
      <c r="M1690" s="1467">
        <v>2.0872000000000002E-2</v>
      </c>
      <c r="N1690" s="1468">
        <v>1.5564051930439609</v>
      </c>
      <c r="O1690" s="1468"/>
    </row>
    <row r="1691" spans="11:15">
      <c r="K1691" s="1465">
        <v>43748</v>
      </c>
      <c r="L1691" s="1466" t="s">
        <v>2127</v>
      </c>
      <c r="M1691" s="1467">
        <v>2.0872000000000002E-2</v>
      </c>
      <c r="N1691" s="1468">
        <v>1.5567300459358531</v>
      </c>
      <c r="O1691" s="1468"/>
    </row>
    <row r="1692" spans="11:15">
      <c r="K1692" s="1465">
        <v>43749</v>
      </c>
      <c r="L1692" s="1466" t="s">
        <v>2127</v>
      </c>
      <c r="M1692" s="1467">
        <v>2.0872000000000002E-2</v>
      </c>
      <c r="N1692" s="1468">
        <v>1.5570549666310409</v>
      </c>
      <c r="O1692" s="1468"/>
    </row>
    <row r="1693" spans="11:15">
      <c r="K1693" s="1465">
        <v>43750</v>
      </c>
      <c r="L1693" s="1466"/>
      <c r="M1693" s="1467">
        <v>0</v>
      </c>
      <c r="N1693" s="1468">
        <v>1.5570549666310409</v>
      </c>
      <c r="O1693" s="1468"/>
    </row>
    <row r="1694" spans="11:15">
      <c r="K1694" s="1465">
        <v>43751</v>
      </c>
      <c r="L1694" s="1466"/>
      <c r="M1694" s="1467">
        <v>0</v>
      </c>
      <c r="N1694" s="1468">
        <v>1.5570549666310409</v>
      </c>
      <c r="O1694" s="1468"/>
    </row>
    <row r="1695" spans="11:15">
      <c r="K1695" s="1465">
        <v>43752</v>
      </c>
      <c r="L1695" s="1466" t="s">
        <v>2127</v>
      </c>
      <c r="M1695" s="1467">
        <v>2.0872000000000002E-2</v>
      </c>
      <c r="N1695" s="1468">
        <v>1.5573799551436762</v>
      </c>
      <c r="O1695" s="1468"/>
    </row>
    <row r="1696" spans="11:15">
      <c r="K1696" s="1465">
        <v>43753</v>
      </c>
      <c r="L1696" s="1466" t="s">
        <v>2127</v>
      </c>
      <c r="M1696" s="1467">
        <v>2.0872000000000002E-2</v>
      </c>
      <c r="N1696" s="1468">
        <v>1.5577050114879138</v>
      </c>
      <c r="O1696" s="1468"/>
    </row>
    <row r="1697" spans="11:15">
      <c r="K1697" s="1465">
        <v>43754</v>
      </c>
      <c r="L1697" s="1466" t="s">
        <v>2127</v>
      </c>
      <c r="M1697" s="1467">
        <v>2.0872000000000002E-2</v>
      </c>
      <c r="N1697" s="1468">
        <v>1.5580301356779116</v>
      </c>
      <c r="O1697" s="1468"/>
    </row>
    <row r="1698" spans="11:15">
      <c r="K1698" s="1465">
        <v>43755</v>
      </c>
      <c r="L1698" s="1466" t="s">
        <v>2127</v>
      </c>
      <c r="M1698" s="1467">
        <v>2.0872000000000002E-2</v>
      </c>
      <c r="N1698" s="1468">
        <v>1.5583553277278304</v>
      </c>
      <c r="O1698" s="1468"/>
    </row>
    <row r="1699" spans="11:15">
      <c r="K1699" s="1465">
        <v>43756</v>
      </c>
      <c r="L1699" s="1466" t="s">
        <v>2127</v>
      </c>
      <c r="M1699" s="1467">
        <v>2.0872000000000002E-2</v>
      </c>
      <c r="N1699" s="1468">
        <v>1.5586805876518337</v>
      </c>
      <c r="O1699" s="1468"/>
    </row>
    <row r="1700" spans="11:15">
      <c r="K1700" s="1465">
        <v>43757</v>
      </c>
      <c r="L1700" s="1466"/>
      <c r="M1700" s="1467">
        <v>0</v>
      </c>
      <c r="N1700" s="1468">
        <v>1.5586805876518337</v>
      </c>
      <c r="O1700" s="1468"/>
    </row>
    <row r="1701" spans="11:15">
      <c r="K1701" s="1465">
        <v>43758</v>
      </c>
      <c r="L1701" s="1466"/>
      <c r="M1701" s="1467">
        <v>0</v>
      </c>
      <c r="N1701" s="1468">
        <v>1.5586805876518337</v>
      </c>
      <c r="O1701" s="1468"/>
    </row>
    <row r="1702" spans="11:15">
      <c r="K1702" s="1465">
        <v>43759</v>
      </c>
      <c r="L1702" s="1466" t="s">
        <v>2127</v>
      </c>
      <c r="M1702" s="1467">
        <v>2.0872000000000002E-2</v>
      </c>
      <c r="N1702" s="1468">
        <v>1.5590059154640885</v>
      </c>
      <c r="O1702" s="1468"/>
    </row>
    <row r="1703" spans="11:15">
      <c r="K1703" s="1465">
        <v>43760</v>
      </c>
      <c r="L1703" s="1466" t="s">
        <v>2127</v>
      </c>
      <c r="M1703" s="1467">
        <v>2.0872000000000002E-2</v>
      </c>
      <c r="N1703" s="1468">
        <v>1.5593313111787643</v>
      </c>
      <c r="O1703" s="1468"/>
    </row>
    <row r="1704" spans="11:15">
      <c r="K1704" s="1465">
        <v>43761</v>
      </c>
      <c r="L1704" s="1466" t="s">
        <v>2127</v>
      </c>
      <c r="M1704" s="1467">
        <v>2.0872000000000002E-2</v>
      </c>
      <c r="N1704" s="1468">
        <v>1.5596567748100336</v>
      </c>
      <c r="O1704" s="1468"/>
    </row>
    <row r="1705" spans="11:15">
      <c r="K1705" s="1465">
        <v>43762</v>
      </c>
      <c r="L1705" s="1466" t="s">
        <v>2127</v>
      </c>
      <c r="M1705" s="1467">
        <v>2.0872000000000002E-2</v>
      </c>
      <c r="N1705" s="1468">
        <v>1.5599823063720721</v>
      </c>
      <c r="O1705" s="1468"/>
    </row>
    <row r="1706" spans="11:15">
      <c r="K1706" s="1465">
        <v>43763</v>
      </c>
      <c r="L1706" s="1466" t="s">
        <v>2127</v>
      </c>
      <c r="M1706" s="1467">
        <v>2.0872000000000002E-2</v>
      </c>
      <c r="N1706" s="1468">
        <v>1.5603079058790581</v>
      </c>
      <c r="O1706" s="1468"/>
    </row>
    <row r="1707" spans="11:15">
      <c r="K1707" s="1465">
        <v>43764</v>
      </c>
      <c r="L1707" s="1466"/>
      <c r="M1707" s="1467">
        <v>0</v>
      </c>
      <c r="N1707" s="1468">
        <v>1.5603079058790581</v>
      </c>
      <c r="O1707" s="1468"/>
    </row>
    <row r="1708" spans="11:15">
      <c r="K1708" s="1465">
        <v>43765</v>
      </c>
      <c r="L1708" s="1466"/>
      <c r="M1708" s="1467">
        <v>0</v>
      </c>
      <c r="N1708" s="1468">
        <v>1.5603079058790581</v>
      </c>
      <c r="O1708" s="1468"/>
    </row>
    <row r="1709" spans="11:15">
      <c r="K1709" s="1465">
        <v>43766</v>
      </c>
      <c r="L1709" s="1466" t="s">
        <v>2127</v>
      </c>
      <c r="M1709" s="1467">
        <v>2.0872000000000002E-2</v>
      </c>
      <c r="N1709" s="1468">
        <v>1.5606335733451733</v>
      </c>
      <c r="O1709" s="1468"/>
    </row>
    <row r="1710" spans="11:15">
      <c r="K1710" s="1465">
        <v>43767</v>
      </c>
      <c r="L1710" s="1466" t="s">
        <v>2127</v>
      </c>
      <c r="M1710" s="1467">
        <v>2.0872000000000002E-2</v>
      </c>
      <c r="N1710" s="1468">
        <v>1.5609593087846019</v>
      </c>
      <c r="O1710" s="1468"/>
    </row>
    <row r="1711" spans="11:15">
      <c r="K1711" s="1465">
        <v>43768</v>
      </c>
      <c r="L1711" s="1466" t="s">
        <v>2127</v>
      </c>
      <c r="M1711" s="1467">
        <v>2.0872000000000002E-2</v>
      </c>
      <c r="N1711" s="1468">
        <v>1.5612851122115314</v>
      </c>
      <c r="O1711" s="1468"/>
    </row>
    <row r="1712" spans="11:15">
      <c r="K1712" s="1465">
        <v>43769</v>
      </c>
      <c r="L1712" s="1466" t="s">
        <v>2127</v>
      </c>
      <c r="M1712" s="1467">
        <v>1.8984999999999998E-2</v>
      </c>
      <c r="N1712" s="1468">
        <v>1.5615815221900846</v>
      </c>
      <c r="O1712" s="1468"/>
    </row>
    <row r="1713" spans="11:15">
      <c r="K1713" s="1465">
        <v>43770</v>
      </c>
      <c r="L1713" s="1466" t="s">
        <v>2127</v>
      </c>
      <c r="M1713" s="1467">
        <v>1.8984999999999998E-2</v>
      </c>
      <c r="N1713" s="1468">
        <v>1.5618779884420724</v>
      </c>
      <c r="O1713" s="1468"/>
    </row>
    <row r="1714" spans="11:15">
      <c r="K1714" s="1465">
        <v>43771</v>
      </c>
      <c r="L1714" s="1466"/>
      <c r="M1714" s="1467">
        <v>0</v>
      </c>
      <c r="N1714" s="1468">
        <v>1.5618779884420724</v>
      </c>
      <c r="O1714" s="1468"/>
    </row>
    <row r="1715" spans="11:15">
      <c r="K1715" s="1465">
        <v>43772</v>
      </c>
      <c r="L1715" s="1466"/>
      <c r="M1715" s="1467">
        <v>0</v>
      </c>
      <c r="N1715" s="1468">
        <v>1.5618779884420724</v>
      </c>
      <c r="O1715" s="1468"/>
    </row>
    <row r="1716" spans="11:15">
      <c r="K1716" s="1465">
        <v>43773</v>
      </c>
      <c r="L1716" s="1466" t="s">
        <v>2127</v>
      </c>
      <c r="M1716" s="1467">
        <v>1.8984999999999998E-2</v>
      </c>
      <c r="N1716" s="1468">
        <v>1.5621745109781779</v>
      </c>
      <c r="O1716" s="1468"/>
    </row>
    <row r="1717" spans="11:15">
      <c r="K1717" s="1465">
        <v>43774</v>
      </c>
      <c r="L1717" s="1466" t="s">
        <v>2127</v>
      </c>
      <c r="M1717" s="1467">
        <v>1.8984999999999998E-2</v>
      </c>
      <c r="N1717" s="1468">
        <v>1.562471089809087</v>
      </c>
      <c r="O1717" s="1468"/>
    </row>
    <row r="1718" spans="11:15">
      <c r="K1718" s="1465">
        <v>43775</v>
      </c>
      <c r="L1718" s="1466" t="s">
        <v>2127</v>
      </c>
      <c r="M1718" s="1467">
        <v>1.8984999999999998E-2</v>
      </c>
      <c r="N1718" s="1468">
        <v>1.5627677249454872</v>
      </c>
      <c r="O1718" s="1468"/>
    </row>
    <row r="1719" spans="11:15">
      <c r="K1719" s="1465">
        <v>43776</v>
      </c>
      <c r="L1719" s="1466" t="s">
        <v>2127</v>
      </c>
      <c r="M1719" s="1467">
        <v>1.8984999999999998E-2</v>
      </c>
      <c r="N1719" s="1468">
        <v>1.563064416398068</v>
      </c>
      <c r="O1719" s="1468"/>
    </row>
    <row r="1720" spans="11:15">
      <c r="K1720" s="1465">
        <v>43777</v>
      </c>
      <c r="L1720" s="1466" t="s">
        <v>2127</v>
      </c>
      <c r="M1720" s="1467">
        <v>1.8984999999999998E-2</v>
      </c>
      <c r="N1720" s="1468">
        <v>1.5633611641775211</v>
      </c>
      <c r="O1720" s="1468"/>
    </row>
    <row r="1721" spans="11:15">
      <c r="K1721" s="1465">
        <v>43778</v>
      </c>
      <c r="L1721" s="1466"/>
      <c r="M1721" s="1467">
        <v>0</v>
      </c>
      <c r="N1721" s="1468">
        <v>1.5633611641775211</v>
      </c>
      <c r="O1721" s="1468"/>
    </row>
    <row r="1722" spans="11:15">
      <c r="K1722" s="1465">
        <v>43779</v>
      </c>
      <c r="L1722" s="1466"/>
      <c r="M1722" s="1467">
        <v>0</v>
      </c>
      <c r="N1722" s="1468">
        <v>1.5633611641775211</v>
      </c>
      <c r="O1722" s="1468"/>
    </row>
    <row r="1723" spans="11:15">
      <c r="K1723" s="1465">
        <v>43780</v>
      </c>
      <c r="L1723" s="1466" t="s">
        <v>2127</v>
      </c>
      <c r="M1723" s="1467">
        <v>1.8984999999999998E-2</v>
      </c>
      <c r="N1723" s="1468">
        <v>1.5636579682945402</v>
      </c>
      <c r="O1723" s="1468"/>
    </row>
    <row r="1724" spans="11:15">
      <c r="K1724" s="1465">
        <v>43781</v>
      </c>
      <c r="L1724" s="1466" t="s">
        <v>2127</v>
      </c>
      <c r="M1724" s="1467">
        <v>1.8984999999999998E-2</v>
      </c>
      <c r="N1724" s="1468">
        <v>1.5639548287598208</v>
      </c>
      <c r="O1724" s="1468"/>
    </row>
    <row r="1725" spans="11:15">
      <c r="K1725" s="1465">
        <v>43782</v>
      </c>
      <c r="L1725" s="1466" t="s">
        <v>2127</v>
      </c>
      <c r="M1725" s="1467">
        <v>1.8984999999999998E-2</v>
      </c>
      <c r="N1725" s="1468">
        <v>1.5642517455840608</v>
      </c>
      <c r="O1725" s="1468"/>
    </row>
    <row r="1726" spans="11:15">
      <c r="K1726" s="1465">
        <v>43783</v>
      </c>
      <c r="L1726" s="1466" t="s">
        <v>2127</v>
      </c>
      <c r="M1726" s="1467">
        <v>1.8984999999999998E-2</v>
      </c>
      <c r="N1726" s="1468">
        <v>1.5645487187779599</v>
      </c>
      <c r="O1726" s="1468"/>
    </row>
    <row r="1727" spans="11:15">
      <c r="K1727" s="1465">
        <v>43784</v>
      </c>
      <c r="L1727" s="1466"/>
      <c r="M1727" s="1467">
        <v>0</v>
      </c>
      <c r="N1727" s="1468">
        <v>1.5645487187779599</v>
      </c>
      <c r="O1727" s="1468"/>
    </row>
    <row r="1728" spans="11:15">
      <c r="K1728" s="1465">
        <v>43785</v>
      </c>
      <c r="L1728" s="1466"/>
      <c r="M1728" s="1467">
        <v>0</v>
      </c>
      <c r="N1728" s="1468">
        <v>1.5645487187779599</v>
      </c>
      <c r="O1728" s="1468"/>
    </row>
    <row r="1729" spans="11:15">
      <c r="K1729" s="1465">
        <v>43786</v>
      </c>
      <c r="L1729" s="1466"/>
      <c r="M1729" s="1467">
        <v>0</v>
      </c>
      <c r="N1729" s="1468">
        <v>1.5645487187779599</v>
      </c>
      <c r="O1729" s="1468"/>
    </row>
    <row r="1730" spans="11:15">
      <c r="K1730" s="1465">
        <v>43787</v>
      </c>
      <c r="L1730" s="1466" t="s">
        <v>2127</v>
      </c>
      <c r="M1730" s="1467">
        <v>1.8984999999999998E-2</v>
      </c>
      <c r="N1730" s="1468">
        <v>1.5648457483522198</v>
      </c>
      <c r="O1730" s="1468"/>
    </row>
    <row r="1731" spans="11:15">
      <c r="K1731" s="1465">
        <v>43788</v>
      </c>
      <c r="L1731" s="1466" t="s">
        <v>2127</v>
      </c>
      <c r="M1731" s="1467">
        <v>1.8984999999999998E-2</v>
      </c>
      <c r="N1731" s="1468">
        <v>1.5651428343175444</v>
      </c>
      <c r="O1731" s="1468"/>
    </row>
    <row r="1732" spans="11:15">
      <c r="K1732" s="1465">
        <v>43789</v>
      </c>
      <c r="L1732" s="1466" t="s">
        <v>2127</v>
      </c>
      <c r="M1732" s="1467">
        <v>1.8984999999999998E-2</v>
      </c>
      <c r="N1732" s="1468">
        <v>1.5654399766846394</v>
      </c>
      <c r="O1732" s="1468"/>
    </row>
    <row r="1733" spans="11:15">
      <c r="K1733" s="1465">
        <v>43790</v>
      </c>
      <c r="L1733" s="1466" t="s">
        <v>2127</v>
      </c>
      <c r="M1733" s="1467">
        <v>1.8984999999999998E-2</v>
      </c>
      <c r="N1733" s="1468">
        <v>1.5657371754642129</v>
      </c>
      <c r="O1733" s="1468"/>
    </row>
    <row r="1734" spans="11:15">
      <c r="K1734" s="1465">
        <v>43791</v>
      </c>
      <c r="L1734" s="1466" t="s">
        <v>2127</v>
      </c>
      <c r="M1734" s="1467">
        <v>1.8984999999999998E-2</v>
      </c>
      <c r="N1734" s="1468">
        <v>1.5660344306669747</v>
      </c>
      <c r="O1734" s="1468"/>
    </row>
    <row r="1735" spans="11:15">
      <c r="K1735" s="1465">
        <v>43792</v>
      </c>
      <c r="L1735" s="1466"/>
      <c r="M1735" s="1467">
        <v>0</v>
      </c>
      <c r="N1735" s="1468">
        <v>1.5660344306669747</v>
      </c>
      <c r="O1735" s="1468"/>
    </row>
    <row r="1736" spans="11:15">
      <c r="K1736" s="1465">
        <v>43793</v>
      </c>
      <c r="L1736" s="1466"/>
      <c r="M1736" s="1467">
        <v>0</v>
      </c>
      <c r="N1736" s="1468">
        <v>1.5660344306669747</v>
      </c>
      <c r="O1736" s="1468"/>
    </row>
    <row r="1737" spans="11:15">
      <c r="K1737" s="1465">
        <v>43794</v>
      </c>
      <c r="L1737" s="1466" t="s">
        <v>2127</v>
      </c>
      <c r="M1737" s="1467">
        <v>1.8984999999999998E-2</v>
      </c>
      <c r="N1737" s="1468">
        <v>1.5663317423036367</v>
      </c>
      <c r="O1737" s="1468"/>
    </row>
    <row r="1738" spans="11:15">
      <c r="K1738" s="1465">
        <v>43795</v>
      </c>
      <c r="L1738" s="1466" t="s">
        <v>2127</v>
      </c>
      <c r="M1738" s="1467">
        <v>1.8984999999999998E-2</v>
      </c>
      <c r="N1738" s="1468">
        <v>1.566629110384913</v>
      </c>
      <c r="O1738" s="1468"/>
    </row>
    <row r="1739" spans="11:15">
      <c r="K1739" s="1465">
        <v>43796</v>
      </c>
      <c r="L1739" s="1466" t="s">
        <v>2127</v>
      </c>
      <c r="M1739" s="1467">
        <v>1.8984999999999998E-2</v>
      </c>
      <c r="N1739" s="1468">
        <v>1.5669265349215196</v>
      </c>
      <c r="O1739" s="1468"/>
    </row>
    <row r="1740" spans="11:15">
      <c r="K1740" s="1465">
        <v>43797</v>
      </c>
      <c r="L1740" s="1466" t="s">
        <v>2127</v>
      </c>
      <c r="M1740" s="1467">
        <v>1.8984999999999998E-2</v>
      </c>
      <c r="N1740" s="1468">
        <v>1.5672240159241744</v>
      </c>
      <c r="O1740" s="1468"/>
    </row>
    <row r="1741" spans="11:15">
      <c r="K1741" s="1465">
        <v>43798</v>
      </c>
      <c r="L1741" s="1466" t="s">
        <v>2127</v>
      </c>
      <c r="M1741" s="1467">
        <v>1.8984999999999998E-2</v>
      </c>
      <c r="N1741" s="1468">
        <v>1.5675215534035976</v>
      </c>
      <c r="O1741" s="1468"/>
    </row>
    <row r="1742" spans="11:15">
      <c r="K1742" s="1465">
        <v>43799</v>
      </c>
      <c r="L1742" s="1466"/>
      <c r="M1742" s="1467">
        <v>0</v>
      </c>
      <c r="N1742" s="1468">
        <v>1.5675215534035976</v>
      </c>
      <c r="O1742" s="1468"/>
    </row>
    <row r="1743" spans="11:15">
      <c r="K1743" s="1465">
        <v>43800</v>
      </c>
      <c r="L1743" s="1466"/>
      <c r="M1743" s="1467">
        <v>0</v>
      </c>
      <c r="N1743" s="1468">
        <v>1.5675215534035976</v>
      </c>
      <c r="O1743" s="1468"/>
    </row>
    <row r="1744" spans="11:15">
      <c r="K1744" s="1465">
        <v>43801</v>
      </c>
      <c r="L1744" s="1466" t="s">
        <v>2127</v>
      </c>
      <c r="M1744" s="1467">
        <v>1.8984999999999998E-2</v>
      </c>
      <c r="N1744" s="1468">
        <v>1.5678191473705112</v>
      </c>
      <c r="O1744" s="1468"/>
    </row>
    <row r="1745" spans="11:15">
      <c r="K1745" s="1465">
        <v>43802</v>
      </c>
      <c r="L1745" s="1466" t="s">
        <v>2127</v>
      </c>
      <c r="M1745" s="1467">
        <v>1.8984999999999998E-2</v>
      </c>
      <c r="N1745" s="1468">
        <v>1.5681167978356394</v>
      </c>
      <c r="O1745" s="1468"/>
    </row>
    <row r="1746" spans="11:15">
      <c r="K1746" s="1465">
        <v>43803</v>
      </c>
      <c r="L1746" s="1466" t="s">
        <v>2127</v>
      </c>
      <c r="M1746" s="1467">
        <v>1.8984999999999998E-2</v>
      </c>
      <c r="N1746" s="1468">
        <v>1.5684145048097085</v>
      </c>
      <c r="O1746" s="1468"/>
    </row>
    <row r="1747" spans="11:15">
      <c r="K1747" s="1465">
        <v>43804</v>
      </c>
      <c r="L1747" s="1466" t="s">
        <v>2127</v>
      </c>
      <c r="M1747" s="1467">
        <v>1.8984999999999998E-2</v>
      </c>
      <c r="N1747" s="1468">
        <v>1.5687122683034465</v>
      </c>
      <c r="O1747" s="1468"/>
    </row>
    <row r="1748" spans="11:15">
      <c r="K1748" s="1465">
        <v>43805</v>
      </c>
      <c r="L1748" s="1466" t="s">
        <v>2127</v>
      </c>
      <c r="M1748" s="1467">
        <v>1.8984999999999998E-2</v>
      </c>
      <c r="N1748" s="1468">
        <v>1.5690100883275837</v>
      </c>
      <c r="O1748" s="1468"/>
    </row>
    <row r="1749" spans="11:15">
      <c r="K1749" s="1465">
        <v>43806</v>
      </c>
      <c r="L1749" s="1466"/>
      <c r="M1749" s="1467">
        <v>0</v>
      </c>
      <c r="N1749" s="1468">
        <v>1.5690100883275837</v>
      </c>
      <c r="O1749" s="1468"/>
    </row>
    <row r="1750" spans="11:15">
      <c r="K1750" s="1465">
        <v>43807</v>
      </c>
      <c r="L1750" s="1466"/>
      <c r="M1750" s="1467">
        <v>0</v>
      </c>
      <c r="N1750" s="1468">
        <v>1.5690100883275837</v>
      </c>
      <c r="O1750" s="1468"/>
    </row>
    <row r="1751" spans="11:15">
      <c r="K1751" s="1465">
        <v>43808</v>
      </c>
      <c r="L1751" s="1466" t="s">
        <v>2127</v>
      </c>
      <c r="M1751" s="1467">
        <v>1.8984999999999998E-2</v>
      </c>
      <c r="N1751" s="1468">
        <v>1.5693079648928525</v>
      </c>
      <c r="O1751" s="1468"/>
    </row>
    <row r="1752" spans="11:15">
      <c r="K1752" s="1465">
        <v>43809</v>
      </c>
      <c r="L1752" s="1466" t="s">
        <v>2127</v>
      </c>
      <c r="M1752" s="1467">
        <v>1.8984999999999998E-2</v>
      </c>
      <c r="N1752" s="1468">
        <v>1.5696058980099874</v>
      </c>
      <c r="O1752" s="1468"/>
    </row>
    <row r="1753" spans="11:15">
      <c r="K1753" s="1465">
        <v>43810</v>
      </c>
      <c r="L1753" s="1466" t="s">
        <v>2127</v>
      </c>
      <c r="M1753" s="1467">
        <v>1.8984999999999998E-2</v>
      </c>
      <c r="N1753" s="1468">
        <v>1.5699038876897244</v>
      </c>
      <c r="O1753" s="1468"/>
    </row>
    <row r="1754" spans="11:15">
      <c r="K1754" s="1465">
        <v>43811</v>
      </c>
      <c r="L1754" s="1466" t="s">
        <v>2127</v>
      </c>
      <c r="M1754" s="1467">
        <v>1.7089E-2</v>
      </c>
      <c r="N1754" s="1468">
        <v>1.5701721685650916</v>
      </c>
      <c r="O1754" s="1468"/>
    </row>
    <row r="1755" spans="11:15">
      <c r="K1755" s="1465">
        <v>43812</v>
      </c>
      <c r="L1755" s="1466" t="s">
        <v>2127</v>
      </c>
      <c r="M1755" s="1467">
        <v>1.7089E-2</v>
      </c>
      <c r="N1755" s="1468">
        <v>1.5704404952869775</v>
      </c>
      <c r="O1755" s="1468"/>
    </row>
    <row r="1756" spans="11:15">
      <c r="K1756" s="1465">
        <v>43813</v>
      </c>
      <c r="L1756" s="1466"/>
      <c r="M1756" s="1467">
        <v>0</v>
      </c>
      <c r="N1756" s="1468">
        <v>1.5704404952869775</v>
      </c>
      <c r="O1756" s="1468"/>
    </row>
    <row r="1757" spans="11:15">
      <c r="K1757" s="1465">
        <v>43814</v>
      </c>
      <c r="L1757" s="1466"/>
      <c r="M1757" s="1467">
        <v>0</v>
      </c>
      <c r="N1757" s="1468">
        <v>1.5704404952869775</v>
      </c>
      <c r="O1757" s="1468"/>
    </row>
    <row r="1758" spans="11:15">
      <c r="K1758" s="1465">
        <v>43815</v>
      </c>
      <c r="L1758" s="1466" t="s">
        <v>2127</v>
      </c>
      <c r="M1758" s="1467">
        <v>1.7089E-2</v>
      </c>
      <c r="N1758" s="1468">
        <v>1.5707088678632171</v>
      </c>
      <c r="O1758" s="1468"/>
    </row>
    <row r="1759" spans="11:15">
      <c r="K1759" s="1465">
        <v>43816</v>
      </c>
      <c r="L1759" s="1466" t="s">
        <v>2127</v>
      </c>
      <c r="M1759" s="1467">
        <v>1.7089E-2</v>
      </c>
      <c r="N1759" s="1468">
        <v>1.570977286301646</v>
      </c>
      <c r="O1759" s="1468"/>
    </row>
    <row r="1760" spans="11:15">
      <c r="K1760" s="1465">
        <v>43817</v>
      </c>
      <c r="L1760" s="1466" t="s">
        <v>2127</v>
      </c>
      <c r="M1760" s="1467">
        <v>1.7089E-2</v>
      </c>
      <c r="N1760" s="1468">
        <v>1.5712457506101021</v>
      </c>
      <c r="O1760" s="1468"/>
    </row>
    <row r="1761" spans="11:15">
      <c r="K1761" s="1465">
        <v>43818</v>
      </c>
      <c r="L1761" s="1466" t="s">
        <v>2127</v>
      </c>
      <c r="M1761" s="1467">
        <v>1.7089E-2</v>
      </c>
      <c r="N1761" s="1468">
        <v>1.5715142607964236</v>
      </c>
      <c r="O1761" s="1468"/>
    </row>
    <row r="1762" spans="11:15">
      <c r="K1762" s="1465">
        <v>43819</v>
      </c>
      <c r="L1762" s="1466" t="s">
        <v>2127</v>
      </c>
      <c r="M1762" s="1467">
        <v>1.7089E-2</v>
      </c>
      <c r="N1762" s="1468">
        <v>1.5717828168684511</v>
      </c>
      <c r="O1762" s="1468"/>
    </row>
    <row r="1763" spans="11:15">
      <c r="K1763" s="1465">
        <v>43820</v>
      </c>
      <c r="L1763" s="1466"/>
      <c r="M1763" s="1467">
        <v>0</v>
      </c>
      <c r="N1763" s="1468">
        <v>1.5717828168684511</v>
      </c>
      <c r="O1763" s="1468"/>
    </row>
    <row r="1764" spans="11:15">
      <c r="K1764" s="1465">
        <v>43821</v>
      </c>
      <c r="L1764" s="1466"/>
      <c r="M1764" s="1467">
        <v>0</v>
      </c>
      <c r="N1764" s="1468">
        <v>1.5717828168684511</v>
      </c>
      <c r="O1764" s="1468"/>
    </row>
    <row r="1765" spans="11:15">
      <c r="K1765" s="1465">
        <v>43822</v>
      </c>
      <c r="L1765" s="1466" t="s">
        <v>2127</v>
      </c>
      <c r="M1765" s="1467">
        <v>1.7089E-2</v>
      </c>
      <c r="N1765" s="1468">
        <v>1.5720514188340255</v>
      </c>
      <c r="O1765" s="1468"/>
    </row>
    <row r="1766" spans="11:15">
      <c r="K1766" s="1465">
        <v>43823</v>
      </c>
      <c r="L1766" s="1466" t="s">
        <v>2127</v>
      </c>
      <c r="M1766" s="1467">
        <v>1.7089E-2</v>
      </c>
      <c r="N1766" s="1468">
        <v>1.57232006670099</v>
      </c>
      <c r="O1766" s="1468"/>
    </row>
    <row r="1767" spans="11:15">
      <c r="K1767" s="1465">
        <v>43824</v>
      </c>
      <c r="L1767" s="1466"/>
      <c r="M1767" s="1467">
        <v>0</v>
      </c>
      <c r="N1767" s="1468">
        <v>1.57232006670099</v>
      </c>
      <c r="O1767" s="1468"/>
    </row>
    <row r="1768" spans="11:15">
      <c r="K1768" s="1465">
        <v>43825</v>
      </c>
      <c r="L1768" s="1466" t="s">
        <v>2127</v>
      </c>
      <c r="M1768" s="1467">
        <v>1.7089E-2</v>
      </c>
      <c r="N1768" s="1468">
        <v>1.5725887604771884</v>
      </c>
      <c r="O1768" s="1468"/>
    </row>
    <row r="1769" spans="11:15">
      <c r="K1769" s="1465">
        <v>43826</v>
      </c>
      <c r="L1769" s="1466" t="s">
        <v>2127</v>
      </c>
      <c r="M1769" s="1467">
        <v>1.7089E-2</v>
      </c>
      <c r="N1769" s="1468">
        <v>1.5728575001704663</v>
      </c>
      <c r="O1769" s="1468"/>
    </row>
    <row r="1770" spans="11:15">
      <c r="K1770" s="1465">
        <v>43827</v>
      </c>
      <c r="L1770" s="1466"/>
      <c r="M1770" s="1467">
        <v>0</v>
      </c>
      <c r="N1770" s="1468">
        <v>1.5728575001704663</v>
      </c>
      <c r="O1770" s="1468"/>
    </row>
    <row r="1771" spans="11:15">
      <c r="K1771" s="1465">
        <v>43828</v>
      </c>
      <c r="L1771" s="1466"/>
      <c r="M1771" s="1467">
        <v>0</v>
      </c>
      <c r="N1771" s="1468">
        <v>1.5728575001704663</v>
      </c>
      <c r="O1771" s="1468"/>
    </row>
    <row r="1772" spans="11:15">
      <c r="K1772" s="1465">
        <v>43829</v>
      </c>
      <c r="L1772" s="1466" t="s">
        <v>2127</v>
      </c>
      <c r="M1772" s="1467">
        <v>1.7089E-2</v>
      </c>
      <c r="N1772" s="1468">
        <v>1.5731262857886703</v>
      </c>
      <c r="O1772" s="1468"/>
    </row>
    <row r="1773" spans="11:15">
      <c r="K1773" s="1465">
        <v>43830</v>
      </c>
      <c r="L1773" s="1466" t="s">
        <v>2127</v>
      </c>
      <c r="M1773" s="1467">
        <v>1.7089E-2</v>
      </c>
      <c r="N1773" s="1468">
        <v>1.5733951173396485</v>
      </c>
      <c r="O1773" s="1468"/>
    </row>
    <row r="1774" spans="11:15">
      <c r="K1774" s="1465">
        <v>43831</v>
      </c>
      <c r="L1774" s="1466"/>
      <c r="M1774" s="1467">
        <v>0</v>
      </c>
      <c r="N1774" s="1468">
        <v>1.5733951173396485</v>
      </c>
      <c r="O1774" s="1468"/>
    </row>
    <row r="1775" spans="11:15">
      <c r="K1775" s="1465">
        <v>43832</v>
      </c>
      <c r="L1775" s="1466" t="s">
        <v>2127</v>
      </c>
      <c r="M1775" s="1467">
        <v>1.7089E-2</v>
      </c>
      <c r="N1775" s="1468">
        <v>1.5736639948312505</v>
      </c>
      <c r="O1775" s="1468"/>
    </row>
    <row r="1776" spans="11:15">
      <c r="K1776" s="1465">
        <v>43833</v>
      </c>
      <c r="L1776" s="1466" t="s">
        <v>2127</v>
      </c>
      <c r="M1776" s="1467">
        <v>1.7089E-2</v>
      </c>
      <c r="N1776" s="1468">
        <v>1.5739329182713271</v>
      </c>
      <c r="O1776" s="1468"/>
    </row>
    <row r="1777" spans="11:15">
      <c r="K1777" s="1465">
        <v>43834</v>
      </c>
      <c r="L1777" s="1466"/>
      <c r="M1777" s="1467">
        <v>0</v>
      </c>
      <c r="N1777" s="1468">
        <v>1.5739329182713271</v>
      </c>
      <c r="O1777" s="1468"/>
    </row>
    <row r="1778" spans="11:15">
      <c r="K1778" s="1465">
        <v>43835</v>
      </c>
      <c r="L1778" s="1466"/>
      <c r="M1778" s="1467">
        <v>0</v>
      </c>
      <c r="N1778" s="1468">
        <v>1.5739329182713271</v>
      </c>
      <c r="O1778" s="1468"/>
    </row>
    <row r="1779" spans="11:15">
      <c r="K1779" s="1465">
        <v>43836</v>
      </c>
      <c r="L1779" s="1466" t="s">
        <v>2127</v>
      </c>
      <c r="M1779" s="1467">
        <v>1.7089E-2</v>
      </c>
      <c r="N1779" s="1468">
        <v>1.5742018876677304</v>
      </c>
      <c r="O1779" s="1468"/>
    </row>
    <row r="1780" spans="11:15">
      <c r="K1780" s="1465">
        <v>43837</v>
      </c>
      <c r="L1780" s="1466" t="s">
        <v>2127</v>
      </c>
      <c r="M1780" s="1467">
        <v>1.7089E-2</v>
      </c>
      <c r="N1780" s="1468">
        <v>1.5744709030283137</v>
      </c>
      <c r="O1780" s="1468"/>
    </row>
    <row r="1781" spans="11:15">
      <c r="K1781" s="1465">
        <v>43838</v>
      </c>
      <c r="L1781" s="1466" t="s">
        <v>2127</v>
      </c>
      <c r="M1781" s="1467">
        <v>1.7089E-2</v>
      </c>
      <c r="N1781" s="1468">
        <v>1.5747399643609321</v>
      </c>
      <c r="O1781" s="1468"/>
    </row>
    <row r="1782" spans="11:15">
      <c r="K1782" s="1465">
        <v>43839</v>
      </c>
      <c r="L1782" s="1466" t="s">
        <v>2127</v>
      </c>
      <c r="M1782" s="1467">
        <v>1.7089E-2</v>
      </c>
      <c r="N1782" s="1468">
        <v>1.5750090716734417</v>
      </c>
      <c r="O1782" s="1468"/>
    </row>
    <row r="1783" spans="11:15">
      <c r="K1783" s="1465">
        <v>43840</v>
      </c>
      <c r="L1783" s="1466" t="s">
        <v>2127</v>
      </c>
      <c r="M1783" s="1467">
        <v>1.7089E-2</v>
      </c>
      <c r="N1783" s="1468">
        <v>1.5752782249736998</v>
      </c>
      <c r="O1783" s="1468"/>
    </row>
    <row r="1784" spans="11:15">
      <c r="K1784" s="1465">
        <v>43841</v>
      </c>
      <c r="L1784" s="1466"/>
      <c r="M1784" s="1467">
        <v>0</v>
      </c>
      <c r="N1784" s="1468">
        <v>1.5752782249736998</v>
      </c>
      <c r="O1784" s="1468"/>
    </row>
    <row r="1785" spans="11:15">
      <c r="K1785" s="1465">
        <v>43842</v>
      </c>
      <c r="L1785" s="1466"/>
      <c r="M1785" s="1467">
        <v>0</v>
      </c>
      <c r="N1785" s="1468">
        <v>1.5752782249736998</v>
      </c>
      <c r="O1785" s="1468"/>
    </row>
    <row r="1786" spans="11:15">
      <c r="K1786" s="1465">
        <v>43843</v>
      </c>
      <c r="L1786" s="1466" t="s">
        <v>2127</v>
      </c>
      <c r="M1786" s="1467">
        <v>1.7089E-2</v>
      </c>
      <c r="N1786" s="1468">
        <v>1.5755474242695655</v>
      </c>
      <c r="O1786" s="1468"/>
    </row>
    <row r="1787" spans="11:15">
      <c r="K1787" s="1465">
        <v>43844</v>
      </c>
      <c r="L1787" s="1466" t="s">
        <v>2127</v>
      </c>
      <c r="M1787" s="1467">
        <v>1.7089E-2</v>
      </c>
      <c r="N1787" s="1468">
        <v>1.5758166695688989</v>
      </c>
      <c r="O1787" s="1468"/>
    </row>
    <row r="1788" spans="11:15">
      <c r="K1788" s="1465">
        <v>43845</v>
      </c>
      <c r="L1788" s="1466" t="s">
        <v>2127</v>
      </c>
      <c r="M1788" s="1467">
        <v>1.7089E-2</v>
      </c>
      <c r="N1788" s="1468">
        <v>1.5760859608795614</v>
      </c>
      <c r="O1788" s="1468"/>
    </row>
    <row r="1789" spans="11:15">
      <c r="K1789" s="1465">
        <v>43846</v>
      </c>
      <c r="L1789" s="1466" t="s">
        <v>2127</v>
      </c>
      <c r="M1789" s="1467">
        <v>1.7089E-2</v>
      </c>
      <c r="N1789" s="1468">
        <v>1.576355298209416</v>
      </c>
      <c r="O1789" s="1468"/>
    </row>
    <row r="1790" spans="11:15">
      <c r="K1790" s="1465">
        <v>43847</v>
      </c>
      <c r="L1790" s="1466" t="s">
        <v>2127</v>
      </c>
      <c r="M1790" s="1467">
        <v>1.7089E-2</v>
      </c>
      <c r="N1790" s="1468">
        <v>1.576624681566327</v>
      </c>
      <c r="O1790" s="1468"/>
    </row>
    <row r="1791" spans="11:15">
      <c r="K1791" s="1465">
        <v>43848</v>
      </c>
      <c r="L1791" s="1466"/>
      <c r="M1791" s="1467">
        <v>0</v>
      </c>
      <c r="N1791" s="1468">
        <v>1.576624681566327</v>
      </c>
      <c r="O1791" s="1468"/>
    </row>
    <row r="1792" spans="11:15">
      <c r="K1792" s="1465">
        <v>43849</v>
      </c>
      <c r="L1792" s="1466"/>
      <c r="M1792" s="1467">
        <v>0</v>
      </c>
      <c r="N1792" s="1468">
        <v>1.576624681566327</v>
      </c>
      <c r="O1792" s="1468"/>
    </row>
    <row r="1793" spans="11:15">
      <c r="K1793" s="1465">
        <v>43850</v>
      </c>
      <c r="L1793" s="1466" t="s">
        <v>2127</v>
      </c>
      <c r="M1793" s="1467">
        <v>1.7089E-2</v>
      </c>
      <c r="N1793" s="1468">
        <v>1.5768941109581598</v>
      </c>
      <c r="O1793" s="1468"/>
    </row>
    <row r="1794" spans="11:15">
      <c r="K1794" s="1465">
        <v>43851</v>
      </c>
      <c r="L1794" s="1466" t="s">
        <v>2127</v>
      </c>
      <c r="M1794" s="1467">
        <v>1.7089E-2</v>
      </c>
      <c r="N1794" s="1468">
        <v>1.5771635863927813</v>
      </c>
      <c r="O1794" s="1468"/>
    </row>
    <row r="1795" spans="11:15">
      <c r="K1795" s="1465">
        <v>43852</v>
      </c>
      <c r="L1795" s="1466" t="s">
        <v>2127</v>
      </c>
      <c r="M1795" s="1467">
        <v>1.7089E-2</v>
      </c>
      <c r="N1795" s="1468">
        <v>1.5774331078780599</v>
      </c>
      <c r="O1795" s="1468"/>
    </row>
    <row r="1796" spans="11:15">
      <c r="K1796" s="1465">
        <v>43853</v>
      </c>
      <c r="L1796" s="1466" t="s">
        <v>2127</v>
      </c>
      <c r="M1796" s="1467">
        <v>1.7089E-2</v>
      </c>
      <c r="N1796" s="1468">
        <v>1.577702675421865</v>
      </c>
      <c r="O1796" s="1468"/>
    </row>
    <row r="1797" spans="11:15">
      <c r="K1797" s="1465">
        <v>43854</v>
      </c>
      <c r="L1797" s="1466" t="s">
        <v>2127</v>
      </c>
      <c r="M1797" s="1467">
        <v>1.7089E-2</v>
      </c>
      <c r="N1797" s="1468">
        <v>1.5779722890320678</v>
      </c>
      <c r="O1797" s="1468"/>
    </row>
    <row r="1798" spans="11:15">
      <c r="K1798" s="1465">
        <v>43855</v>
      </c>
      <c r="L1798" s="1466"/>
      <c r="M1798" s="1467">
        <v>0</v>
      </c>
      <c r="N1798" s="1468">
        <v>1.5779722890320678</v>
      </c>
      <c r="O1798" s="1468"/>
    </row>
    <row r="1799" spans="11:15">
      <c r="K1799" s="1465">
        <v>43856</v>
      </c>
      <c r="L1799" s="1466"/>
      <c r="M1799" s="1467">
        <v>0</v>
      </c>
      <c r="N1799" s="1468">
        <v>1.5779722890320678</v>
      </c>
      <c r="O1799" s="1468"/>
    </row>
    <row r="1800" spans="11:15">
      <c r="K1800" s="1465">
        <v>43857</v>
      </c>
      <c r="L1800" s="1466" t="s">
        <v>2127</v>
      </c>
      <c r="M1800" s="1467">
        <v>1.7089E-2</v>
      </c>
      <c r="N1800" s="1468">
        <v>1.5782419487165404</v>
      </c>
      <c r="O1800" s="1468"/>
    </row>
    <row r="1801" spans="11:15">
      <c r="K1801" s="1465">
        <v>43858</v>
      </c>
      <c r="L1801" s="1466" t="s">
        <v>2127</v>
      </c>
      <c r="M1801" s="1467">
        <v>1.7089E-2</v>
      </c>
      <c r="N1801" s="1468">
        <v>1.5785116544831566</v>
      </c>
      <c r="O1801" s="1468"/>
    </row>
    <row r="1802" spans="11:15">
      <c r="K1802" s="1465">
        <v>43859</v>
      </c>
      <c r="L1802" s="1466" t="s">
        <v>2127</v>
      </c>
      <c r="M1802" s="1467">
        <v>1.7089E-2</v>
      </c>
      <c r="N1802" s="1468">
        <v>1.5787814063397911</v>
      </c>
      <c r="O1802" s="1468"/>
    </row>
    <row r="1803" spans="11:15">
      <c r="K1803" s="1465">
        <v>43860</v>
      </c>
      <c r="L1803" s="1466" t="s">
        <v>2127</v>
      </c>
      <c r="M1803" s="1467">
        <v>1.7089E-2</v>
      </c>
      <c r="N1803" s="1468">
        <v>1.5790512042943203</v>
      </c>
      <c r="O1803" s="1468"/>
    </row>
    <row r="1804" spans="11:15">
      <c r="K1804" s="1465">
        <v>43861</v>
      </c>
      <c r="L1804" s="1466" t="s">
        <v>2127</v>
      </c>
      <c r="M1804" s="1467">
        <v>1.7089E-2</v>
      </c>
      <c r="N1804" s="1468">
        <v>1.5793210483546221</v>
      </c>
      <c r="O1804" s="1468"/>
    </row>
    <row r="1805" spans="11:15">
      <c r="K1805" s="1465">
        <v>43862</v>
      </c>
      <c r="L1805" s="1466"/>
      <c r="M1805" s="1467">
        <v>0</v>
      </c>
      <c r="N1805" s="1468">
        <v>1.5793210483546221</v>
      </c>
      <c r="O1805" s="1468"/>
    </row>
    <row r="1806" spans="11:15">
      <c r="K1806" s="1465">
        <v>43863</v>
      </c>
      <c r="L1806" s="1466"/>
      <c r="M1806" s="1467">
        <v>0</v>
      </c>
      <c r="N1806" s="1468">
        <v>1.5793210483546221</v>
      </c>
      <c r="O1806" s="1468"/>
    </row>
    <row r="1807" spans="11:15">
      <c r="K1807" s="1465">
        <v>43864</v>
      </c>
      <c r="L1807" s="1466" t="s">
        <v>2127</v>
      </c>
      <c r="M1807" s="1467">
        <v>1.7089E-2</v>
      </c>
      <c r="N1807" s="1468">
        <v>1.5795909385285754</v>
      </c>
      <c r="O1807" s="1468"/>
    </row>
    <row r="1808" spans="11:15">
      <c r="K1808" s="1465">
        <v>43865</v>
      </c>
      <c r="L1808" s="1466" t="s">
        <v>2127</v>
      </c>
      <c r="M1808" s="1467">
        <v>1.7089E-2</v>
      </c>
      <c r="N1808" s="1468">
        <v>1.5798608748240603</v>
      </c>
      <c r="O1808" s="1468"/>
    </row>
    <row r="1809" spans="11:15">
      <c r="K1809" s="1465">
        <v>43866</v>
      </c>
      <c r="L1809" s="1466" t="s">
        <v>2127</v>
      </c>
      <c r="M1809" s="1467">
        <v>1.7089E-2</v>
      </c>
      <c r="N1809" s="1468">
        <v>1.580130857248959</v>
      </c>
      <c r="O1809" s="1468"/>
    </row>
    <row r="1810" spans="11:15">
      <c r="K1810" s="1465">
        <v>43867</v>
      </c>
      <c r="L1810" s="1466" t="s">
        <v>2127</v>
      </c>
      <c r="M1810" s="1467">
        <v>1.6136999999999999E-2</v>
      </c>
      <c r="N1810" s="1468">
        <v>1.5803858429653934</v>
      </c>
      <c r="O1810" s="1468"/>
    </row>
    <row r="1811" spans="11:15">
      <c r="K1811" s="1465">
        <v>43868</v>
      </c>
      <c r="L1811" s="1466" t="s">
        <v>2127</v>
      </c>
      <c r="M1811" s="1467">
        <v>1.6136999999999999E-2</v>
      </c>
      <c r="N1811" s="1468">
        <v>1.5806408698288728</v>
      </c>
      <c r="O1811" s="1468"/>
    </row>
    <row r="1812" spans="11:15">
      <c r="K1812" s="1465">
        <v>43869</v>
      </c>
      <c r="L1812" s="1466"/>
      <c r="M1812" s="1467">
        <v>0</v>
      </c>
      <c r="N1812" s="1468">
        <v>1.5806408698288728</v>
      </c>
      <c r="O1812" s="1468"/>
    </row>
    <row r="1813" spans="11:15">
      <c r="K1813" s="1465">
        <v>43870</v>
      </c>
      <c r="L1813" s="1466"/>
      <c r="M1813" s="1467">
        <v>0</v>
      </c>
      <c r="N1813" s="1468">
        <v>1.5806408698288728</v>
      </c>
      <c r="O1813" s="1468"/>
    </row>
    <row r="1814" spans="11:15">
      <c r="K1814" s="1465">
        <v>43871</v>
      </c>
      <c r="L1814" s="1466" t="s">
        <v>2127</v>
      </c>
      <c r="M1814" s="1467">
        <v>1.6136999999999999E-2</v>
      </c>
      <c r="N1814" s="1468">
        <v>1.5808959378460372</v>
      </c>
      <c r="O1814" s="1468"/>
    </row>
    <row r="1815" spans="11:15">
      <c r="K1815" s="1465">
        <v>43872</v>
      </c>
      <c r="L1815" s="1466" t="s">
        <v>2127</v>
      </c>
      <c r="M1815" s="1467">
        <v>1.6136999999999999E-2</v>
      </c>
      <c r="N1815" s="1468">
        <v>1.5811510470235275</v>
      </c>
      <c r="O1815" s="1468"/>
    </row>
    <row r="1816" spans="11:15">
      <c r="K1816" s="1465">
        <v>43873</v>
      </c>
      <c r="L1816" s="1466" t="s">
        <v>2127</v>
      </c>
      <c r="M1816" s="1467">
        <v>1.6136999999999999E-2</v>
      </c>
      <c r="N1816" s="1468">
        <v>1.5814061973679858</v>
      </c>
      <c r="O1816" s="1468"/>
    </row>
    <row r="1817" spans="11:15">
      <c r="K1817" s="1465">
        <v>43874</v>
      </c>
      <c r="L1817" s="1466" t="s">
        <v>2127</v>
      </c>
      <c r="M1817" s="1467">
        <v>1.6136999999999999E-2</v>
      </c>
      <c r="N1817" s="1468">
        <v>1.5816613888860551</v>
      </c>
      <c r="O1817" s="1468"/>
    </row>
    <row r="1818" spans="11:15">
      <c r="K1818" s="1465">
        <v>43875</v>
      </c>
      <c r="L1818" s="1466" t="s">
        <v>2127</v>
      </c>
      <c r="M1818" s="1467">
        <v>1.6136999999999999E-2</v>
      </c>
      <c r="N1818" s="1468">
        <v>1.5819166215843798</v>
      </c>
      <c r="O1818" s="1468"/>
    </row>
    <row r="1819" spans="11:15">
      <c r="K1819" s="1465">
        <v>43876</v>
      </c>
      <c r="L1819" s="1466"/>
      <c r="M1819" s="1467">
        <v>0</v>
      </c>
      <c r="N1819" s="1468">
        <v>1.5819166215843798</v>
      </c>
      <c r="O1819" s="1468"/>
    </row>
    <row r="1820" spans="11:15">
      <c r="K1820" s="1465">
        <v>43877</v>
      </c>
      <c r="L1820" s="1466"/>
      <c r="M1820" s="1467">
        <v>0</v>
      </c>
      <c r="N1820" s="1468">
        <v>1.5819166215843798</v>
      </c>
      <c r="O1820" s="1468"/>
    </row>
    <row r="1821" spans="11:15">
      <c r="K1821" s="1465">
        <v>43878</v>
      </c>
      <c r="L1821" s="1466" t="s">
        <v>2127</v>
      </c>
      <c r="M1821" s="1467">
        <v>1.6136999999999999E-2</v>
      </c>
      <c r="N1821" s="1468">
        <v>1.5821718954696049</v>
      </c>
      <c r="O1821" s="1468"/>
    </row>
    <row r="1822" spans="11:15">
      <c r="K1822" s="1465">
        <v>43879</v>
      </c>
      <c r="L1822" s="1466" t="s">
        <v>2127</v>
      </c>
      <c r="M1822" s="1467">
        <v>1.6136999999999999E-2</v>
      </c>
      <c r="N1822" s="1468">
        <v>1.582427210548377</v>
      </c>
      <c r="O1822" s="1468"/>
    </row>
    <row r="1823" spans="11:15">
      <c r="K1823" s="1465">
        <v>43880</v>
      </c>
      <c r="L1823" s="1466" t="s">
        <v>2127</v>
      </c>
      <c r="M1823" s="1467">
        <v>1.6136999999999999E-2</v>
      </c>
      <c r="N1823" s="1468">
        <v>1.5826825668273432</v>
      </c>
      <c r="O1823" s="1468"/>
    </row>
    <row r="1824" spans="11:15">
      <c r="K1824" s="1465">
        <v>43881</v>
      </c>
      <c r="L1824" s="1466" t="s">
        <v>2127</v>
      </c>
      <c r="M1824" s="1467">
        <v>1.6136999999999999E-2</v>
      </c>
      <c r="N1824" s="1468">
        <v>1.5829379643131523</v>
      </c>
      <c r="O1824" s="1468"/>
    </row>
    <row r="1825" spans="11:15">
      <c r="K1825" s="1465">
        <v>43882</v>
      </c>
      <c r="L1825" s="1466" t="s">
        <v>2127</v>
      </c>
      <c r="M1825" s="1467">
        <v>1.6136999999999999E-2</v>
      </c>
      <c r="N1825" s="1468">
        <v>1.5831934030124535</v>
      </c>
      <c r="O1825" s="1468"/>
    </row>
    <row r="1826" spans="11:15">
      <c r="K1826" s="1465">
        <v>43883</v>
      </c>
      <c r="L1826" s="1466"/>
      <c r="M1826" s="1467">
        <v>0</v>
      </c>
      <c r="N1826" s="1468">
        <v>1.5831934030124535</v>
      </c>
      <c r="O1826" s="1468"/>
    </row>
    <row r="1827" spans="11:15">
      <c r="K1827" s="1465">
        <v>43884</v>
      </c>
      <c r="L1827" s="1466"/>
      <c r="M1827" s="1467">
        <v>0</v>
      </c>
      <c r="N1827" s="1468">
        <v>1.5831934030124535</v>
      </c>
      <c r="O1827" s="1468"/>
    </row>
    <row r="1828" spans="11:15">
      <c r="K1828" s="1465">
        <v>43885</v>
      </c>
      <c r="L1828" s="1466"/>
      <c r="M1828" s="1467">
        <v>0</v>
      </c>
      <c r="N1828" s="1468">
        <v>1.5831934030124535</v>
      </c>
      <c r="O1828" s="1468"/>
    </row>
    <row r="1829" spans="11:15">
      <c r="K1829" s="1465">
        <v>43886</v>
      </c>
      <c r="L1829" s="1466"/>
      <c r="M1829" s="1467">
        <v>0</v>
      </c>
      <c r="N1829" s="1468">
        <v>1.5831934030124535</v>
      </c>
      <c r="O1829" s="1468"/>
    </row>
    <row r="1830" spans="11:15">
      <c r="K1830" s="1465">
        <v>43887</v>
      </c>
      <c r="L1830" s="1466" t="s">
        <v>2127</v>
      </c>
      <c r="M1830" s="1467">
        <v>1.6136999999999999E-2</v>
      </c>
      <c r="N1830" s="1468">
        <v>1.5834488829318978</v>
      </c>
      <c r="O1830" s="1468"/>
    </row>
    <row r="1831" spans="11:15">
      <c r="K1831" s="1465">
        <v>43888</v>
      </c>
      <c r="L1831" s="1466" t="s">
        <v>2127</v>
      </c>
      <c r="M1831" s="1467">
        <v>1.6136999999999999E-2</v>
      </c>
      <c r="N1831" s="1468">
        <v>1.5837044040781365</v>
      </c>
      <c r="O1831" s="1468"/>
    </row>
    <row r="1832" spans="11:15">
      <c r="K1832" s="1465">
        <v>43889</v>
      </c>
      <c r="L1832" s="1466" t="s">
        <v>2127</v>
      </c>
      <c r="M1832" s="1467">
        <v>1.6136999999999999E-2</v>
      </c>
      <c r="N1832" s="1468">
        <v>1.5839599664578228</v>
      </c>
      <c r="O1832" s="1468"/>
    </row>
    <row r="1833" spans="11:15">
      <c r="K1833" s="1465">
        <v>43890</v>
      </c>
      <c r="L1833" s="1466"/>
      <c r="M1833" s="1467">
        <v>0</v>
      </c>
      <c r="N1833" s="1468">
        <v>1.5839599664578228</v>
      </c>
      <c r="O1833" s="1468"/>
    </row>
    <row r="1834" spans="11:15">
      <c r="K1834" s="1465">
        <v>43891</v>
      </c>
      <c r="L1834" s="1466"/>
      <c r="M1834" s="1467">
        <v>0</v>
      </c>
      <c r="N1834" s="1468">
        <v>1.5839599664578228</v>
      </c>
      <c r="O1834" s="1468"/>
    </row>
    <row r="1835" spans="11:15">
      <c r="K1835" s="1465">
        <v>43892</v>
      </c>
      <c r="L1835" s="1466" t="s">
        <v>2127</v>
      </c>
      <c r="M1835" s="1467">
        <v>1.6136999999999999E-2</v>
      </c>
      <c r="N1835" s="1468">
        <v>1.5842155700776102</v>
      </c>
      <c r="O1835" s="1468"/>
    </row>
    <row r="1836" spans="11:15">
      <c r="K1836" s="1465">
        <v>43893</v>
      </c>
      <c r="L1836" s="1466" t="s">
        <v>2127</v>
      </c>
      <c r="M1836" s="1467">
        <v>1.6136999999999999E-2</v>
      </c>
      <c r="N1836" s="1468">
        <v>1.5844712149441535</v>
      </c>
      <c r="O1836" s="1468"/>
    </row>
    <row r="1837" spans="11:15">
      <c r="K1837" s="1465">
        <v>43894</v>
      </c>
      <c r="L1837" s="1466" t="s">
        <v>2127</v>
      </c>
      <c r="M1837" s="1467">
        <v>1.6136999999999999E-2</v>
      </c>
      <c r="N1837" s="1468">
        <v>1.5847269010641092</v>
      </c>
      <c r="O1837" s="1468"/>
    </row>
    <row r="1838" spans="11:15">
      <c r="K1838" s="1465">
        <v>43895</v>
      </c>
      <c r="L1838" s="1466" t="s">
        <v>2127</v>
      </c>
      <c r="M1838" s="1467">
        <v>1.6136999999999999E-2</v>
      </c>
      <c r="N1838" s="1468">
        <v>1.584982628444134</v>
      </c>
      <c r="O1838" s="1468"/>
    </row>
    <row r="1839" spans="11:15">
      <c r="K1839" s="1465">
        <v>43896</v>
      </c>
      <c r="L1839" s="1466" t="s">
        <v>2127</v>
      </c>
      <c r="M1839" s="1467">
        <v>1.6136999999999999E-2</v>
      </c>
      <c r="N1839" s="1468">
        <v>1.5852383970908861</v>
      </c>
      <c r="O1839" s="1468"/>
    </row>
    <row r="1840" spans="11:15">
      <c r="K1840" s="1465">
        <v>43897</v>
      </c>
      <c r="L1840" s="1466"/>
      <c r="M1840" s="1467">
        <v>0</v>
      </c>
      <c r="N1840" s="1468">
        <v>1.5852383970908861</v>
      </c>
      <c r="O1840" s="1468"/>
    </row>
    <row r="1841" spans="11:15">
      <c r="K1841" s="1465">
        <v>43898</v>
      </c>
      <c r="L1841" s="1466"/>
      <c r="M1841" s="1467">
        <v>0</v>
      </c>
      <c r="N1841" s="1468">
        <v>1.5852383970908861</v>
      </c>
      <c r="O1841" s="1468"/>
    </row>
    <row r="1842" spans="11:15">
      <c r="K1842" s="1465">
        <v>43899</v>
      </c>
      <c r="L1842" s="1466" t="s">
        <v>2127</v>
      </c>
      <c r="M1842" s="1467">
        <v>1.6136999999999999E-2</v>
      </c>
      <c r="N1842" s="1468">
        <v>1.5854942070110247</v>
      </c>
      <c r="O1842" s="1468"/>
    </row>
    <row r="1843" spans="11:15">
      <c r="K1843" s="1465">
        <v>43900</v>
      </c>
      <c r="L1843" s="1466" t="s">
        <v>2127</v>
      </c>
      <c r="M1843" s="1467">
        <v>1.6136999999999999E-2</v>
      </c>
      <c r="N1843" s="1468">
        <v>1.5857500582112101</v>
      </c>
      <c r="O1843" s="1468"/>
    </row>
    <row r="1844" spans="11:15">
      <c r="K1844" s="1465">
        <v>43901</v>
      </c>
      <c r="L1844" s="1466" t="s">
        <v>2127</v>
      </c>
      <c r="M1844" s="1467">
        <v>1.6136999999999999E-2</v>
      </c>
      <c r="N1844" s="1468">
        <v>1.5860059506981037</v>
      </c>
      <c r="O1844" s="1468"/>
    </row>
    <row r="1845" spans="11:15">
      <c r="K1845" s="1465">
        <v>43902</v>
      </c>
      <c r="L1845" s="1466" t="s">
        <v>2127</v>
      </c>
      <c r="M1845" s="1467">
        <v>1.6136999999999999E-2</v>
      </c>
      <c r="N1845" s="1468">
        <v>1.586261884478368</v>
      </c>
      <c r="O1845" s="1468"/>
    </row>
    <row r="1846" spans="11:15">
      <c r="K1846" s="1465">
        <v>43903</v>
      </c>
      <c r="L1846" s="1466" t="s">
        <v>2127</v>
      </c>
      <c r="M1846" s="1467">
        <v>1.6136999999999999E-2</v>
      </c>
      <c r="N1846" s="1468">
        <v>1.5865178595586664</v>
      </c>
      <c r="O1846" s="1468"/>
    </row>
    <row r="1847" spans="11:15">
      <c r="K1847" s="1465">
        <v>43904</v>
      </c>
      <c r="L1847" s="1466"/>
      <c r="M1847" s="1467">
        <v>0</v>
      </c>
      <c r="N1847" s="1468">
        <v>1.5865178595586664</v>
      </c>
      <c r="O1847" s="1468"/>
    </row>
    <row r="1848" spans="11:15">
      <c r="K1848" s="1465">
        <v>43905</v>
      </c>
      <c r="L1848" s="1466"/>
      <c r="M1848" s="1467">
        <v>0</v>
      </c>
      <c r="N1848" s="1468">
        <v>1.5865178595586664</v>
      </c>
      <c r="O1848" s="1468"/>
    </row>
    <row r="1849" spans="11:15">
      <c r="K1849" s="1465">
        <v>43906</v>
      </c>
      <c r="L1849" s="1466" t="s">
        <v>2127</v>
      </c>
      <c r="M1849" s="1467">
        <v>1.6136999999999999E-2</v>
      </c>
      <c r="N1849" s="1468">
        <v>1.5867738759456635</v>
      </c>
      <c r="O1849" s="1468"/>
    </row>
    <row r="1850" spans="11:15">
      <c r="K1850" s="1465">
        <v>43907</v>
      </c>
      <c r="L1850" s="1466" t="s">
        <v>2127</v>
      </c>
      <c r="M1850" s="1467">
        <v>1.6136999999999999E-2</v>
      </c>
      <c r="N1850" s="1468">
        <v>1.587029933646025</v>
      </c>
      <c r="O1850" s="1468"/>
    </row>
    <row r="1851" spans="11:15">
      <c r="K1851" s="1465">
        <v>43908</v>
      </c>
      <c r="L1851" s="1466" t="s">
        <v>2127</v>
      </c>
      <c r="M1851" s="1467">
        <v>1.6136999999999999E-2</v>
      </c>
      <c r="N1851" s="1468">
        <v>1.5872860326664175</v>
      </c>
      <c r="O1851" s="1468"/>
    </row>
    <row r="1852" spans="11:15">
      <c r="K1852" s="1465">
        <v>43909</v>
      </c>
      <c r="L1852" s="1466" t="s">
        <v>2127</v>
      </c>
      <c r="M1852" s="1467">
        <v>1.4227E-2</v>
      </c>
      <c r="N1852" s="1468">
        <v>1.587511855850285</v>
      </c>
      <c r="O1852" s="1468"/>
    </row>
    <row r="1853" spans="11:15">
      <c r="K1853" s="1465">
        <v>43910</v>
      </c>
      <c r="L1853" s="1466" t="s">
        <v>2127</v>
      </c>
      <c r="M1853" s="1467">
        <v>1.4227E-2</v>
      </c>
      <c r="N1853" s="1468">
        <v>1.5877377111620168</v>
      </c>
      <c r="O1853" s="1468"/>
    </row>
    <row r="1854" spans="11:15">
      <c r="K1854" s="1465">
        <v>43911</v>
      </c>
      <c r="L1854" s="1466"/>
      <c r="M1854" s="1467">
        <v>0</v>
      </c>
      <c r="N1854" s="1468">
        <v>1.5877377111620168</v>
      </c>
      <c r="O1854" s="1468"/>
    </row>
    <row r="1855" spans="11:15">
      <c r="K1855" s="1465">
        <v>43912</v>
      </c>
      <c r="L1855" s="1466"/>
      <c r="M1855" s="1467">
        <v>0</v>
      </c>
      <c r="N1855" s="1468">
        <v>1.5877377111620168</v>
      </c>
      <c r="O1855" s="1468"/>
    </row>
    <row r="1856" spans="11:15">
      <c r="K1856" s="1465">
        <v>43913</v>
      </c>
      <c r="L1856" s="1466" t="s">
        <v>2127</v>
      </c>
      <c r="M1856" s="1467">
        <v>1.4227E-2</v>
      </c>
      <c r="N1856" s="1468">
        <v>1.5879635986061837</v>
      </c>
      <c r="O1856" s="1468"/>
    </row>
    <row r="1857" spans="11:15">
      <c r="K1857" s="1465">
        <v>43914</v>
      </c>
      <c r="L1857" s="1466" t="s">
        <v>2127</v>
      </c>
      <c r="M1857" s="1467">
        <v>1.4227E-2</v>
      </c>
      <c r="N1857" s="1468">
        <v>1.5881895181873575</v>
      </c>
      <c r="O1857" s="1468"/>
    </row>
    <row r="1858" spans="11:15">
      <c r="K1858" s="1465">
        <v>43915</v>
      </c>
      <c r="L1858" s="1466" t="s">
        <v>2127</v>
      </c>
      <c r="M1858" s="1467">
        <v>1.4227E-2</v>
      </c>
      <c r="N1858" s="1468">
        <v>1.5884154699101101</v>
      </c>
      <c r="O1858" s="1468"/>
    </row>
    <row r="1859" spans="11:15">
      <c r="K1859" s="1465">
        <v>43916</v>
      </c>
      <c r="L1859" s="1466" t="s">
        <v>2127</v>
      </c>
      <c r="M1859" s="1467">
        <v>1.4227E-2</v>
      </c>
      <c r="N1859" s="1468">
        <v>1.5886414537790141</v>
      </c>
      <c r="O1859" s="1468"/>
    </row>
    <row r="1860" spans="11:15">
      <c r="K1860" s="1465">
        <v>43917</v>
      </c>
      <c r="L1860" s="1466" t="s">
        <v>2127</v>
      </c>
      <c r="M1860" s="1467">
        <v>1.4227E-2</v>
      </c>
      <c r="N1860" s="1468">
        <v>1.5888674697986434</v>
      </c>
      <c r="O1860" s="1468"/>
    </row>
    <row r="1861" spans="11:15">
      <c r="K1861" s="1465">
        <v>43918</v>
      </c>
      <c r="L1861" s="1466"/>
      <c r="M1861" s="1467">
        <v>0</v>
      </c>
      <c r="N1861" s="1468">
        <v>1.5888674697986434</v>
      </c>
      <c r="O1861" s="1468"/>
    </row>
    <row r="1862" spans="11:15">
      <c r="K1862" s="1465">
        <v>43919</v>
      </c>
      <c r="L1862" s="1466"/>
      <c r="M1862" s="1467">
        <v>0</v>
      </c>
      <c r="N1862" s="1468">
        <v>1.5888674697986434</v>
      </c>
      <c r="O1862" s="1468"/>
    </row>
    <row r="1863" spans="11:15">
      <c r="K1863" s="1465">
        <v>43920</v>
      </c>
      <c r="L1863" s="1466" t="s">
        <v>2127</v>
      </c>
      <c r="M1863" s="1467">
        <v>1.4227E-2</v>
      </c>
      <c r="N1863" s="1468">
        <v>1.5890935179735717</v>
      </c>
      <c r="O1863" s="1468"/>
    </row>
    <row r="1864" spans="11:15">
      <c r="K1864" s="1465">
        <v>43921</v>
      </c>
      <c r="L1864" s="1466" t="s">
        <v>2127</v>
      </c>
      <c r="M1864" s="1467">
        <v>1.4227E-2</v>
      </c>
      <c r="N1864" s="1468">
        <v>1.5893195983083739</v>
      </c>
      <c r="O1864" s="1468"/>
    </row>
    <row r="1865" spans="11:15">
      <c r="K1865" s="1465">
        <v>43922</v>
      </c>
      <c r="L1865" s="1466" t="s">
        <v>2127</v>
      </c>
      <c r="M1865" s="1467">
        <v>1.4227E-2</v>
      </c>
      <c r="N1865" s="1468">
        <v>1.5895457108076252</v>
      </c>
      <c r="O1865" s="1468"/>
    </row>
    <row r="1866" spans="11:15">
      <c r="K1866" s="1465">
        <v>43923</v>
      </c>
      <c r="L1866" s="1466" t="s">
        <v>2127</v>
      </c>
      <c r="M1866" s="1467">
        <v>1.4227E-2</v>
      </c>
      <c r="N1866" s="1468">
        <v>1.5897718554759017</v>
      </c>
      <c r="O1866" s="1468"/>
    </row>
    <row r="1867" spans="11:15">
      <c r="K1867" s="1465">
        <v>43924</v>
      </c>
      <c r="L1867" s="1466" t="s">
        <v>2127</v>
      </c>
      <c r="M1867" s="1467">
        <v>1.4227E-2</v>
      </c>
      <c r="N1867" s="1468">
        <v>1.5899980323177803</v>
      </c>
      <c r="O1867" s="1468"/>
    </row>
    <row r="1868" spans="11:15">
      <c r="K1868" s="1465">
        <v>43925</v>
      </c>
      <c r="L1868" s="1466"/>
      <c r="M1868" s="1467">
        <v>0</v>
      </c>
      <c r="N1868" s="1468">
        <v>1.5899980323177803</v>
      </c>
      <c r="O1868" s="1468"/>
    </row>
    <row r="1869" spans="11:15">
      <c r="K1869" s="1465">
        <v>43926</v>
      </c>
      <c r="L1869" s="1466"/>
      <c r="M1869" s="1467">
        <v>0</v>
      </c>
      <c r="N1869" s="1468">
        <v>1.5899980323177803</v>
      </c>
      <c r="O1869" s="1468"/>
    </row>
    <row r="1870" spans="11:15">
      <c r="K1870" s="1465">
        <v>43927</v>
      </c>
      <c r="L1870" s="1466" t="s">
        <v>2127</v>
      </c>
      <c r="M1870" s="1467">
        <v>1.4227E-2</v>
      </c>
      <c r="N1870" s="1468">
        <v>1.590224241337838</v>
      </c>
      <c r="O1870" s="1468"/>
    </row>
    <row r="1871" spans="11:15">
      <c r="K1871" s="1465">
        <v>43928</v>
      </c>
      <c r="L1871" s="1466" t="s">
        <v>2127</v>
      </c>
      <c r="M1871" s="1467">
        <v>1.4227E-2</v>
      </c>
      <c r="N1871" s="1468">
        <v>1.5904504825406531</v>
      </c>
      <c r="O1871" s="1468"/>
    </row>
    <row r="1872" spans="11:15">
      <c r="K1872" s="1465">
        <v>43929</v>
      </c>
      <c r="L1872" s="1466" t="s">
        <v>2127</v>
      </c>
      <c r="M1872" s="1467">
        <v>1.4227E-2</v>
      </c>
      <c r="N1872" s="1468">
        <v>1.5906767559308042</v>
      </c>
      <c r="O1872" s="1468"/>
    </row>
    <row r="1873" spans="11:15">
      <c r="K1873" s="1465">
        <v>43930</v>
      </c>
      <c r="L1873" s="1466" t="s">
        <v>2127</v>
      </c>
      <c r="M1873" s="1467">
        <v>1.4227E-2</v>
      </c>
      <c r="N1873" s="1468">
        <v>1.5909030615128705</v>
      </c>
      <c r="O1873" s="1468"/>
    </row>
    <row r="1874" spans="11:15">
      <c r="K1874" s="1465">
        <v>43931</v>
      </c>
      <c r="L1874" s="1466"/>
      <c r="M1874" s="1467">
        <v>0</v>
      </c>
      <c r="N1874" s="1468">
        <v>1.5909030615128705</v>
      </c>
      <c r="O1874" s="1468"/>
    </row>
    <row r="1875" spans="11:15">
      <c r="K1875" s="1465">
        <v>43932</v>
      </c>
      <c r="L1875" s="1466"/>
      <c r="M1875" s="1467">
        <v>0</v>
      </c>
      <c r="N1875" s="1468">
        <v>1.5909030615128705</v>
      </c>
      <c r="O1875" s="1468"/>
    </row>
    <row r="1876" spans="11:15">
      <c r="K1876" s="1465">
        <v>43933</v>
      </c>
      <c r="L1876" s="1466"/>
      <c r="M1876" s="1467">
        <v>0</v>
      </c>
      <c r="N1876" s="1468">
        <v>1.5909030615128705</v>
      </c>
      <c r="O1876" s="1468"/>
    </row>
    <row r="1877" spans="11:15">
      <c r="K1877" s="1465">
        <v>43934</v>
      </c>
      <c r="L1877" s="1466" t="s">
        <v>2127</v>
      </c>
      <c r="M1877" s="1467">
        <v>1.4227E-2</v>
      </c>
      <c r="N1877" s="1468">
        <v>1.5911293992914319</v>
      </c>
      <c r="O1877" s="1468"/>
    </row>
    <row r="1878" spans="11:15">
      <c r="K1878" s="1465">
        <v>43935</v>
      </c>
      <c r="L1878" s="1466" t="s">
        <v>2127</v>
      </c>
      <c r="M1878" s="1467">
        <v>1.4227E-2</v>
      </c>
      <c r="N1878" s="1468">
        <v>1.5913557692710691</v>
      </c>
      <c r="O1878" s="1468"/>
    </row>
    <row r="1879" spans="11:15">
      <c r="K1879" s="1465">
        <v>43936</v>
      </c>
      <c r="L1879" s="1466" t="s">
        <v>2127</v>
      </c>
      <c r="M1879" s="1467">
        <v>1.4227E-2</v>
      </c>
      <c r="N1879" s="1468">
        <v>1.5915821714563634</v>
      </c>
      <c r="O1879" s="1468"/>
    </row>
    <row r="1880" spans="11:15">
      <c r="K1880" s="1465">
        <v>43937</v>
      </c>
      <c r="L1880" s="1466" t="s">
        <v>2127</v>
      </c>
      <c r="M1880" s="1467">
        <v>1.4227E-2</v>
      </c>
      <c r="N1880" s="1468">
        <v>1.5918086058518965</v>
      </c>
      <c r="O1880" s="1468"/>
    </row>
    <row r="1881" spans="11:15">
      <c r="K1881" s="1465">
        <v>43938</v>
      </c>
      <c r="L1881" s="1466" t="s">
        <v>2127</v>
      </c>
      <c r="M1881" s="1467">
        <v>1.4227E-2</v>
      </c>
      <c r="N1881" s="1468">
        <v>1.5920350724622512</v>
      </c>
      <c r="O1881" s="1468"/>
    </row>
    <row r="1882" spans="11:15">
      <c r="K1882" s="1465">
        <v>43939</v>
      </c>
      <c r="L1882" s="1466"/>
      <c r="M1882" s="1467">
        <v>0</v>
      </c>
      <c r="N1882" s="1468">
        <v>1.5920350724622512</v>
      </c>
      <c r="O1882" s="1468"/>
    </row>
    <row r="1883" spans="11:15">
      <c r="K1883" s="1465">
        <v>43940</v>
      </c>
      <c r="L1883" s="1466"/>
      <c r="M1883" s="1467">
        <v>0</v>
      </c>
      <c r="N1883" s="1468">
        <v>1.5920350724622512</v>
      </c>
      <c r="O1883" s="1468"/>
    </row>
    <row r="1884" spans="11:15">
      <c r="K1884" s="1465">
        <v>43941</v>
      </c>
      <c r="L1884" s="1466" t="s">
        <v>2127</v>
      </c>
      <c r="M1884" s="1467">
        <v>1.4227E-2</v>
      </c>
      <c r="N1884" s="1468">
        <v>1.5922615712920103</v>
      </c>
      <c r="O1884" s="1468"/>
    </row>
    <row r="1885" spans="11:15">
      <c r="K1885" s="1465">
        <v>43942</v>
      </c>
      <c r="L1885" s="1466"/>
      <c r="M1885" s="1467">
        <v>0</v>
      </c>
      <c r="N1885" s="1468">
        <v>1.5922615712920103</v>
      </c>
      <c r="O1885" s="1468"/>
    </row>
    <row r="1886" spans="11:15">
      <c r="K1886" s="1465">
        <v>43943</v>
      </c>
      <c r="L1886" s="1466" t="s">
        <v>2127</v>
      </c>
      <c r="M1886" s="1467">
        <v>1.4227E-2</v>
      </c>
      <c r="N1886" s="1468">
        <v>1.592488102345758</v>
      </c>
      <c r="O1886" s="1468"/>
    </row>
    <row r="1887" spans="11:15">
      <c r="K1887" s="1465">
        <v>43944</v>
      </c>
      <c r="L1887" s="1466" t="s">
        <v>2127</v>
      </c>
      <c r="M1887" s="1467">
        <v>1.4227E-2</v>
      </c>
      <c r="N1887" s="1468">
        <v>1.5927146656280786</v>
      </c>
      <c r="O1887" s="1468"/>
    </row>
    <row r="1888" spans="11:15">
      <c r="K1888" s="1465">
        <v>43945</v>
      </c>
      <c r="L1888" s="1466" t="s">
        <v>2127</v>
      </c>
      <c r="M1888" s="1467">
        <v>1.4227E-2</v>
      </c>
      <c r="N1888" s="1468">
        <v>1.5929412611435576</v>
      </c>
      <c r="O1888" s="1468"/>
    </row>
    <row r="1889" spans="11:15">
      <c r="K1889" s="1465">
        <v>43946</v>
      </c>
      <c r="L1889" s="1466"/>
      <c r="M1889" s="1467">
        <v>0</v>
      </c>
      <c r="N1889" s="1468">
        <v>1.5929412611435576</v>
      </c>
      <c r="O1889" s="1468"/>
    </row>
    <row r="1890" spans="11:15">
      <c r="K1890" s="1465">
        <v>43947</v>
      </c>
      <c r="L1890" s="1466"/>
      <c r="M1890" s="1467">
        <v>0</v>
      </c>
      <c r="N1890" s="1468">
        <v>1.5929412611435576</v>
      </c>
      <c r="O1890" s="1468"/>
    </row>
    <row r="1891" spans="11:15">
      <c r="K1891" s="1465">
        <v>43948</v>
      </c>
      <c r="L1891" s="1466" t="s">
        <v>2127</v>
      </c>
      <c r="M1891" s="1467">
        <v>1.4227E-2</v>
      </c>
      <c r="N1891" s="1468">
        <v>1.5931678888967804</v>
      </c>
      <c r="O1891" s="1468"/>
    </row>
    <row r="1892" spans="11:15">
      <c r="K1892" s="1465">
        <v>43949</v>
      </c>
      <c r="L1892" s="1466" t="s">
        <v>2127</v>
      </c>
      <c r="M1892" s="1467">
        <v>1.4227E-2</v>
      </c>
      <c r="N1892" s="1468">
        <v>1.5933945488923338</v>
      </c>
      <c r="O1892" s="1468"/>
    </row>
    <row r="1893" spans="11:15">
      <c r="K1893" s="1465">
        <v>43950</v>
      </c>
      <c r="L1893" s="1466" t="s">
        <v>2127</v>
      </c>
      <c r="M1893" s="1467">
        <v>1.4227E-2</v>
      </c>
      <c r="N1893" s="1468">
        <v>1.5936212411348047</v>
      </c>
      <c r="O1893" s="1468"/>
    </row>
    <row r="1894" spans="11:15">
      <c r="K1894" s="1465">
        <v>43951</v>
      </c>
      <c r="L1894" s="1466" t="s">
        <v>2127</v>
      </c>
      <c r="M1894" s="1467">
        <v>1.4227E-2</v>
      </c>
      <c r="N1894" s="1468">
        <v>1.5938479656287809</v>
      </c>
      <c r="O1894" s="1468"/>
    </row>
    <row r="1895" spans="11:15">
      <c r="K1895" s="1465">
        <v>43952</v>
      </c>
      <c r="L1895" s="1466"/>
      <c r="M1895" s="1467">
        <v>0</v>
      </c>
      <c r="N1895" s="1468">
        <v>1.5938479656287809</v>
      </c>
      <c r="O1895" s="1468"/>
    </row>
    <row r="1896" spans="11:15">
      <c r="K1896" s="1465">
        <v>43953</v>
      </c>
      <c r="L1896" s="1466"/>
      <c r="M1896" s="1467">
        <v>0</v>
      </c>
      <c r="N1896" s="1468">
        <v>1.5938479656287809</v>
      </c>
      <c r="O1896" s="1468"/>
    </row>
    <row r="1897" spans="11:15">
      <c r="K1897" s="1465">
        <v>43954</v>
      </c>
      <c r="L1897" s="1466"/>
      <c r="M1897" s="1467">
        <v>0</v>
      </c>
      <c r="N1897" s="1468">
        <v>1.5938479656287809</v>
      </c>
      <c r="O1897" s="1468"/>
    </row>
    <row r="1898" spans="11:15">
      <c r="K1898" s="1465">
        <v>43955</v>
      </c>
      <c r="L1898" s="1466" t="s">
        <v>2127</v>
      </c>
      <c r="M1898" s="1467">
        <v>1.4227E-2</v>
      </c>
      <c r="N1898" s="1468">
        <v>1.594074722378851</v>
      </c>
      <c r="O1898" s="1468"/>
    </row>
    <row r="1899" spans="11:15">
      <c r="K1899" s="1465">
        <v>43956</v>
      </c>
      <c r="L1899" s="1466" t="s">
        <v>2127</v>
      </c>
      <c r="M1899" s="1467">
        <v>1.4227E-2</v>
      </c>
      <c r="N1899" s="1468">
        <v>1.5943015113896037</v>
      </c>
      <c r="O1899" s="1468"/>
    </row>
    <row r="1900" spans="11:15">
      <c r="K1900" s="1465">
        <v>43957</v>
      </c>
      <c r="L1900" s="1466" t="s">
        <v>2127</v>
      </c>
      <c r="M1900" s="1467">
        <v>1.4227E-2</v>
      </c>
      <c r="N1900" s="1468">
        <v>1.5945283326656292</v>
      </c>
      <c r="O1900" s="1468"/>
    </row>
    <row r="1901" spans="11:15">
      <c r="K1901" s="1465">
        <v>43958</v>
      </c>
      <c r="L1901" s="1466" t="s">
        <v>2127</v>
      </c>
      <c r="M1901" s="1467">
        <v>1.1344999999999999E-2</v>
      </c>
      <c r="N1901" s="1468">
        <v>1.59470923190497</v>
      </c>
      <c r="O1901" s="1468"/>
    </row>
    <row r="1902" spans="11:15">
      <c r="K1902" s="1465">
        <v>43959</v>
      </c>
      <c r="L1902" s="1466" t="s">
        <v>2127</v>
      </c>
      <c r="M1902" s="1467">
        <v>1.1344999999999999E-2</v>
      </c>
      <c r="N1902" s="1468">
        <v>1.5948901516673295</v>
      </c>
      <c r="O1902" s="1468"/>
    </row>
    <row r="1903" spans="11:15">
      <c r="K1903" s="1465">
        <v>43960</v>
      </c>
      <c r="L1903" s="1466"/>
      <c r="M1903" s="1467">
        <v>0</v>
      </c>
      <c r="N1903" s="1468">
        <v>1.5948901516673295</v>
      </c>
      <c r="O1903" s="1468"/>
    </row>
    <row r="1904" spans="11:15">
      <c r="K1904" s="1465">
        <v>43961</v>
      </c>
      <c r="L1904" s="1466"/>
      <c r="M1904" s="1467">
        <v>0</v>
      </c>
      <c r="N1904" s="1468">
        <v>1.5948901516673295</v>
      </c>
      <c r="O1904" s="1468"/>
    </row>
    <row r="1905" spans="11:15">
      <c r="K1905" s="1465">
        <v>43962</v>
      </c>
      <c r="L1905" s="1466" t="s">
        <v>2127</v>
      </c>
      <c r="M1905" s="1467">
        <v>1.1344999999999999E-2</v>
      </c>
      <c r="N1905" s="1468">
        <v>1.5950710919550362</v>
      </c>
      <c r="O1905" s="1468"/>
    </row>
    <row r="1906" spans="11:15">
      <c r="K1906" s="1465">
        <v>43963</v>
      </c>
      <c r="L1906" s="1466" t="s">
        <v>2127</v>
      </c>
      <c r="M1906" s="1467">
        <v>1.1344999999999999E-2</v>
      </c>
      <c r="N1906" s="1468">
        <v>1.5952520527704184</v>
      </c>
      <c r="O1906" s="1468"/>
    </row>
    <row r="1907" spans="11:15">
      <c r="K1907" s="1465">
        <v>43964</v>
      </c>
      <c r="L1907" s="1466" t="s">
        <v>2127</v>
      </c>
      <c r="M1907" s="1467">
        <v>1.1344999999999999E-2</v>
      </c>
      <c r="N1907" s="1468">
        <v>1.5954330341158052</v>
      </c>
      <c r="O1907" s="1468"/>
    </row>
    <row r="1908" spans="11:15">
      <c r="K1908" s="1465">
        <v>43965</v>
      </c>
      <c r="L1908" s="1466" t="s">
        <v>2127</v>
      </c>
      <c r="M1908" s="1467">
        <v>1.1344999999999999E-2</v>
      </c>
      <c r="N1908" s="1468">
        <v>1.5956140359935256</v>
      </c>
      <c r="O1908" s="1468"/>
    </row>
    <row r="1909" spans="11:15">
      <c r="K1909" s="1465">
        <v>43966</v>
      </c>
      <c r="L1909" s="1466" t="s">
        <v>2127</v>
      </c>
      <c r="M1909" s="1467">
        <v>1.1344999999999999E-2</v>
      </c>
      <c r="N1909" s="1468">
        <v>1.5957950584059091</v>
      </c>
      <c r="O1909" s="1468"/>
    </row>
    <row r="1910" spans="11:15">
      <c r="K1910" s="1465">
        <v>43967</v>
      </c>
      <c r="L1910" s="1466"/>
      <c r="M1910" s="1467">
        <v>0</v>
      </c>
      <c r="N1910" s="1468">
        <v>1.5957950584059091</v>
      </c>
      <c r="O1910" s="1468"/>
    </row>
    <row r="1911" spans="11:15">
      <c r="K1911" s="1465">
        <v>43968</v>
      </c>
      <c r="L1911" s="1466"/>
      <c r="M1911" s="1467">
        <v>0</v>
      </c>
      <c r="N1911" s="1468">
        <v>1.5957950584059091</v>
      </c>
      <c r="O1911" s="1468"/>
    </row>
    <row r="1912" spans="11:15">
      <c r="K1912" s="1465">
        <v>43969</v>
      </c>
      <c r="L1912" s="1466" t="s">
        <v>2127</v>
      </c>
      <c r="M1912" s="1467">
        <v>1.1344999999999999E-2</v>
      </c>
      <c r="N1912" s="1468">
        <v>1.5959761013552851</v>
      </c>
      <c r="O1912" s="1468"/>
    </row>
    <row r="1913" spans="11:15">
      <c r="K1913" s="1465">
        <v>43970</v>
      </c>
      <c r="L1913" s="1466" t="s">
        <v>2127</v>
      </c>
      <c r="M1913" s="1467">
        <v>1.1344999999999999E-2</v>
      </c>
      <c r="N1913" s="1468">
        <v>1.5961571648439838</v>
      </c>
      <c r="O1913" s="1468"/>
    </row>
    <row r="1914" spans="11:15">
      <c r="K1914" s="1465">
        <v>43971</v>
      </c>
      <c r="L1914" s="1466" t="s">
        <v>2127</v>
      </c>
      <c r="M1914" s="1467">
        <v>1.1344999999999999E-2</v>
      </c>
      <c r="N1914" s="1468">
        <v>1.5963382488743354</v>
      </c>
      <c r="O1914" s="1468"/>
    </row>
    <row r="1915" spans="11:15">
      <c r="K1915" s="1465">
        <v>43972</v>
      </c>
      <c r="L1915" s="1466" t="s">
        <v>2127</v>
      </c>
      <c r="M1915" s="1467">
        <v>1.1344999999999999E-2</v>
      </c>
      <c r="N1915" s="1468">
        <v>1.5965193534486701</v>
      </c>
      <c r="O1915" s="1468"/>
    </row>
    <row r="1916" spans="11:15">
      <c r="K1916" s="1465">
        <v>43973</v>
      </c>
      <c r="L1916" s="1466" t="s">
        <v>2127</v>
      </c>
      <c r="M1916" s="1467">
        <v>1.1344999999999999E-2</v>
      </c>
      <c r="N1916" s="1468">
        <v>1.5967004785693188</v>
      </c>
      <c r="O1916" s="1468"/>
    </row>
    <row r="1917" spans="11:15">
      <c r="K1917" s="1465">
        <v>43974</v>
      </c>
      <c r="L1917" s="1466"/>
      <c r="M1917" s="1467">
        <v>0</v>
      </c>
      <c r="N1917" s="1468">
        <v>1.5967004785693188</v>
      </c>
      <c r="O1917" s="1468"/>
    </row>
    <row r="1918" spans="11:15">
      <c r="K1918" s="1465">
        <v>43975</v>
      </c>
      <c r="L1918" s="1466"/>
      <c r="M1918" s="1467">
        <v>0</v>
      </c>
      <c r="N1918" s="1468">
        <v>1.5967004785693188</v>
      </c>
      <c r="O1918" s="1468"/>
    </row>
    <row r="1919" spans="11:15">
      <c r="K1919" s="1465">
        <v>43976</v>
      </c>
      <c r="L1919" s="1466" t="s">
        <v>2127</v>
      </c>
      <c r="M1919" s="1467">
        <v>1.1344999999999999E-2</v>
      </c>
      <c r="N1919" s="1468">
        <v>1.5968816242386126</v>
      </c>
      <c r="O1919" s="1468"/>
    </row>
    <row r="1920" spans="11:15">
      <c r="K1920" s="1465">
        <v>43977</v>
      </c>
      <c r="L1920" s="1466" t="s">
        <v>2127</v>
      </c>
      <c r="M1920" s="1467">
        <v>1.1344999999999999E-2</v>
      </c>
      <c r="N1920" s="1468">
        <v>1.5970627904588823</v>
      </c>
      <c r="O1920" s="1468"/>
    </row>
    <row r="1921" spans="11:15">
      <c r="K1921" s="1465">
        <v>43978</v>
      </c>
      <c r="L1921" s="1466" t="s">
        <v>2127</v>
      </c>
      <c r="M1921" s="1467">
        <v>1.1344999999999999E-2</v>
      </c>
      <c r="N1921" s="1468">
        <v>1.5972439772324598</v>
      </c>
      <c r="O1921" s="1468"/>
    </row>
    <row r="1922" spans="11:15">
      <c r="K1922" s="1465">
        <v>43979</v>
      </c>
      <c r="L1922" s="1466" t="s">
        <v>2127</v>
      </c>
      <c r="M1922" s="1467">
        <v>1.1344999999999999E-2</v>
      </c>
      <c r="N1922" s="1468">
        <v>1.5974251845616767</v>
      </c>
      <c r="O1922" s="1468"/>
    </row>
    <row r="1923" spans="11:15">
      <c r="K1923" s="1465">
        <v>43980</v>
      </c>
      <c r="L1923" s="1466" t="s">
        <v>2127</v>
      </c>
      <c r="M1923" s="1467">
        <v>1.1344999999999999E-2</v>
      </c>
      <c r="N1923" s="1468">
        <v>1.5976064124488651</v>
      </c>
      <c r="O1923" s="1468"/>
    </row>
    <row r="1924" spans="11:15">
      <c r="K1924" s="1465">
        <v>43981</v>
      </c>
      <c r="L1924" s="1466"/>
      <c r="M1924" s="1467">
        <v>0</v>
      </c>
      <c r="N1924" s="1468">
        <v>1.5976064124488651</v>
      </c>
      <c r="O1924" s="1468"/>
    </row>
    <row r="1925" spans="11:15">
      <c r="K1925" s="1465">
        <v>43982</v>
      </c>
      <c r="L1925" s="1466"/>
      <c r="M1925" s="1467">
        <v>0</v>
      </c>
      <c r="N1925" s="1468">
        <v>1.5976064124488651</v>
      </c>
      <c r="O1925" s="1468"/>
    </row>
    <row r="1926" spans="11:15">
      <c r="K1926" s="1465">
        <v>43983</v>
      </c>
      <c r="L1926" s="1466" t="s">
        <v>2127</v>
      </c>
      <c r="M1926" s="1467">
        <v>1.1344999999999999E-2</v>
      </c>
      <c r="N1926" s="1468">
        <v>1.5977876608963575</v>
      </c>
      <c r="O1926" s="1468"/>
    </row>
    <row r="1927" spans="11:15">
      <c r="K1927" s="1465">
        <v>43984</v>
      </c>
      <c r="L1927" s="1466" t="s">
        <v>2127</v>
      </c>
      <c r="M1927" s="1467">
        <v>1.1344999999999999E-2</v>
      </c>
      <c r="N1927" s="1468">
        <v>1.5979689299064861</v>
      </c>
      <c r="O1927" s="1468"/>
    </row>
    <row r="1928" spans="11:15">
      <c r="K1928" s="1465">
        <v>43985</v>
      </c>
      <c r="L1928" s="1466" t="s">
        <v>2127</v>
      </c>
      <c r="M1928" s="1467">
        <v>1.1344999999999999E-2</v>
      </c>
      <c r="N1928" s="1468">
        <v>1.598150219481584</v>
      </c>
      <c r="O1928" s="1468"/>
    </row>
    <row r="1929" spans="11:15">
      <c r="K1929" s="1465">
        <v>43986</v>
      </c>
      <c r="L1929" s="1466" t="s">
        <v>2127</v>
      </c>
      <c r="M1929" s="1467">
        <v>1.1344999999999999E-2</v>
      </c>
      <c r="N1929" s="1468">
        <v>1.5983315296239842</v>
      </c>
      <c r="O1929" s="1468"/>
    </row>
    <row r="1930" spans="11:15">
      <c r="K1930" s="1465">
        <v>43987</v>
      </c>
      <c r="L1930" s="1466" t="s">
        <v>2127</v>
      </c>
      <c r="M1930" s="1467">
        <v>1.1344999999999999E-2</v>
      </c>
      <c r="N1930" s="1468">
        <v>1.5985128603360199</v>
      </c>
      <c r="O1930" s="1468"/>
    </row>
    <row r="1931" spans="11:15">
      <c r="K1931" s="1465">
        <v>43988</v>
      </c>
      <c r="L1931" s="1466"/>
      <c r="M1931" s="1467">
        <v>0</v>
      </c>
      <c r="N1931" s="1468">
        <v>1.5985128603360199</v>
      </c>
      <c r="O1931" s="1468"/>
    </row>
    <row r="1932" spans="11:15">
      <c r="K1932" s="1465">
        <v>43989</v>
      </c>
      <c r="L1932" s="1466"/>
      <c r="M1932" s="1467">
        <v>0</v>
      </c>
      <c r="N1932" s="1468">
        <v>1.5985128603360199</v>
      </c>
      <c r="O1932" s="1468"/>
    </row>
    <row r="1933" spans="11:15">
      <c r="K1933" s="1465">
        <v>43990</v>
      </c>
      <c r="L1933" s="1466" t="s">
        <v>2127</v>
      </c>
      <c r="M1933" s="1467">
        <v>1.1344999999999999E-2</v>
      </c>
      <c r="N1933" s="1468">
        <v>1.5986942116200249</v>
      </c>
      <c r="O1933" s="1468"/>
    </row>
    <row r="1934" spans="11:15">
      <c r="K1934" s="1465">
        <v>43991</v>
      </c>
      <c r="L1934" s="1466" t="s">
        <v>2127</v>
      </c>
      <c r="M1934" s="1467">
        <v>1.1344999999999999E-2</v>
      </c>
      <c r="N1934" s="1468">
        <v>1.598875583478333</v>
      </c>
      <c r="O1934" s="1468"/>
    </row>
    <row r="1935" spans="11:15">
      <c r="K1935" s="1465">
        <v>43992</v>
      </c>
      <c r="L1935" s="1466" t="s">
        <v>2127</v>
      </c>
      <c r="M1935" s="1467">
        <v>1.1344999999999999E-2</v>
      </c>
      <c r="N1935" s="1468">
        <v>1.5990569759132787</v>
      </c>
      <c r="O1935" s="1468"/>
    </row>
    <row r="1936" spans="11:15">
      <c r="K1936" s="1465">
        <v>43993</v>
      </c>
      <c r="L1936" s="1466"/>
      <c r="M1936" s="1467">
        <v>0</v>
      </c>
      <c r="N1936" s="1468">
        <v>1.5990569759132787</v>
      </c>
      <c r="O1936" s="1468"/>
    </row>
    <row r="1937" spans="11:15">
      <c r="K1937" s="1465">
        <v>43994</v>
      </c>
      <c r="L1937" s="1466" t="s">
        <v>2127</v>
      </c>
      <c r="M1937" s="1467">
        <v>1.1344999999999999E-2</v>
      </c>
      <c r="N1937" s="1468">
        <v>1.5992383889271959</v>
      </c>
      <c r="O1937" s="1468"/>
    </row>
    <row r="1938" spans="11:15">
      <c r="K1938" s="1465">
        <v>43995</v>
      </c>
      <c r="L1938" s="1466"/>
      <c r="M1938" s="1467">
        <v>0</v>
      </c>
      <c r="N1938" s="1468">
        <v>1.5992383889271959</v>
      </c>
      <c r="O1938" s="1468"/>
    </row>
    <row r="1939" spans="11:15">
      <c r="K1939" s="1465">
        <v>43996</v>
      </c>
      <c r="L1939" s="1466"/>
      <c r="M1939" s="1467">
        <v>0</v>
      </c>
      <c r="N1939" s="1468">
        <v>1.5992383889271959</v>
      </c>
      <c r="O1939" s="1468"/>
    </row>
    <row r="1940" spans="11:15">
      <c r="K1940" s="1465">
        <v>43997</v>
      </c>
      <c r="L1940" s="1466" t="s">
        <v>2127</v>
      </c>
      <c r="M1940" s="1467">
        <v>1.1344999999999999E-2</v>
      </c>
      <c r="N1940" s="1468">
        <v>1.5994198225224197</v>
      </c>
      <c r="O1940" s="1468"/>
    </row>
    <row r="1941" spans="11:15">
      <c r="K1941" s="1465">
        <v>43998</v>
      </c>
      <c r="L1941" s="1466" t="s">
        <v>2127</v>
      </c>
      <c r="M1941" s="1467">
        <v>1.1344999999999999E-2</v>
      </c>
      <c r="N1941" s="1468">
        <v>1.5996012767012848</v>
      </c>
      <c r="O1941" s="1468"/>
    </row>
    <row r="1942" spans="11:15">
      <c r="K1942" s="1465">
        <v>43999</v>
      </c>
      <c r="L1942" s="1466" t="s">
        <v>2127</v>
      </c>
      <c r="M1942" s="1467">
        <v>1.1344999999999999E-2</v>
      </c>
      <c r="N1942" s="1468">
        <v>1.5997827514661265</v>
      </c>
      <c r="O1942" s="1468"/>
    </row>
    <row r="1943" spans="11:15">
      <c r="K1943" s="1465">
        <v>44000</v>
      </c>
      <c r="L1943" s="1466" t="s">
        <v>2127</v>
      </c>
      <c r="M1943" s="1467">
        <v>8.4419999999999999E-3</v>
      </c>
      <c r="N1943" s="1468">
        <v>1.5999178051260055</v>
      </c>
      <c r="O1943" s="1468"/>
    </row>
    <row r="1944" spans="11:15">
      <c r="K1944" s="1465">
        <v>44001</v>
      </c>
      <c r="L1944" s="1466" t="s">
        <v>2127</v>
      </c>
      <c r="M1944" s="1467">
        <v>8.4419999999999999E-3</v>
      </c>
      <c r="N1944" s="1468">
        <v>1.6000528701871144</v>
      </c>
      <c r="O1944" s="1468"/>
    </row>
    <row r="1945" spans="11:15">
      <c r="K1945" s="1465">
        <v>44002</v>
      </c>
      <c r="L1945" s="1466"/>
      <c r="M1945" s="1467">
        <v>0</v>
      </c>
      <c r="N1945" s="1468">
        <v>1.6000528701871144</v>
      </c>
      <c r="O1945" s="1468"/>
    </row>
    <row r="1946" spans="11:15">
      <c r="K1946" s="1465">
        <v>44003</v>
      </c>
      <c r="L1946" s="1466"/>
      <c r="M1946" s="1467">
        <v>0</v>
      </c>
      <c r="N1946" s="1468">
        <v>1.6000528701871144</v>
      </c>
      <c r="O1946" s="1468"/>
    </row>
    <row r="1947" spans="11:15">
      <c r="K1947" s="1465">
        <v>44004</v>
      </c>
      <c r="L1947" s="1466" t="s">
        <v>2127</v>
      </c>
      <c r="M1947" s="1467">
        <v>8.4419999999999999E-3</v>
      </c>
      <c r="N1947" s="1468">
        <v>1.6001879466504156</v>
      </c>
      <c r="O1947" s="1468"/>
    </row>
    <row r="1948" spans="11:15">
      <c r="K1948" s="1465">
        <v>44005</v>
      </c>
      <c r="L1948" s="1466" t="s">
        <v>2127</v>
      </c>
      <c r="M1948" s="1467">
        <v>8.4419999999999999E-3</v>
      </c>
      <c r="N1948" s="1468">
        <v>1.600323034516872</v>
      </c>
      <c r="O1948" s="1468"/>
    </row>
    <row r="1949" spans="11:15">
      <c r="K1949" s="1465">
        <v>44006</v>
      </c>
      <c r="L1949" s="1466" t="s">
        <v>2127</v>
      </c>
      <c r="M1949" s="1467">
        <v>8.4419999999999999E-3</v>
      </c>
      <c r="N1949" s="1468">
        <v>1.6004581337874459</v>
      </c>
      <c r="O1949" s="1468"/>
    </row>
    <row r="1950" spans="11:15">
      <c r="K1950" s="1465">
        <v>44007</v>
      </c>
      <c r="L1950" s="1466" t="s">
        <v>2127</v>
      </c>
      <c r="M1950" s="1467">
        <v>8.4419999999999999E-3</v>
      </c>
      <c r="N1950" s="1468">
        <v>1.6005932444631004</v>
      </c>
      <c r="O1950" s="1468"/>
    </row>
    <row r="1951" spans="11:15">
      <c r="K1951" s="1465">
        <v>44008</v>
      </c>
      <c r="L1951" s="1466" t="s">
        <v>2127</v>
      </c>
      <c r="M1951" s="1467">
        <v>8.4419999999999999E-3</v>
      </c>
      <c r="N1951" s="1468">
        <v>1.600728366544798</v>
      </c>
      <c r="O1951" s="1468"/>
    </row>
    <row r="1952" spans="11:15">
      <c r="K1952" s="1465">
        <v>44009</v>
      </c>
      <c r="L1952" s="1466"/>
      <c r="M1952" s="1467">
        <v>0</v>
      </c>
      <c r="N1952" s="1468">
        <v>1.600728366544798</v>
      </c>
      <c r="O1952" s="1468"/>
    </row>
    <row r="1953" spans="11:15">
      <c r="K1953" s="1465">
        <v>44010</v>
      </c>
      <c r="L1953" s="1466"/>
      <c r="M1953" s="1467">
        <v>0</v>
      </c>
      <c r="N1953" s="1468">
        <v>1.600728366544798</v>
      </c>
      <c r="O1953" s="1468"/>
    </row>
    <row r="1954" spans="11:15">
      <c r="K1954" s="1465">
        <v>44011</v>
      </c>
      <c r="L1954" s="1466" t="s">
        <v>2127</v>
      </c>
      <c r="M1954" s="1467">
        <v>8.4419999999999999E-3</v>
      </c>
      <c r="N1954" s="1468">
        <v>1.6008635000335019</v>
      </c>
      <c r="O1954" s="1468"/>
    </row>
    <row r="1955" spans="11:15">
      <c r="K1955" s="1465">
        <v>44012</v>
      </c>
      <c r="L1955" s="1466" t="s">
        <v>2127</v>
      </c>
      <c r="M1955" s="1467">
        <v>8.4419999999999999E-3</v>
      </c>
      <c r="N1955" s="1468">
        <v>1.6009986449301747</v>
      </c>
      <c r="O1955" s="1468"/>
    </row>
    <row r="1956" spans="11:15">
      <c r="K1956" s="1465">
        <v>44013</v>
      </c>
      <c r="L1956" s="1466" t="s">
        <v>2127</v>
      </c>
      <c r="M1956" s="1467">
        <v>8.4419999999999999E-3</v>
      </c>
      <c r="N1956" s="1468">
        <v>1.6011338012357799</v>
      </c>
      <c r="O1956" s="1468"/>
    </row>
    <row r="1957" spans="11:15">
      <c r="K1957" s="1465">
        <v>44014</v>
      </c>
      <c r="L1957" s="1466" t="s">
        <v>2127</v>
      </c>
      <c r="M1957" s="1467">
        <v>8.4419999999999999E-3</v>
      </c>
      <c r="N1957" s="1468">
        <v>1.6012689689512802</v>
      </c>
      <c r="O1957" s="1468"/>
    </row>
    <row r="1958" spans="11:15">
      <c r="K1958" s="1465">
        <v>44015</v>
      </c>
      <c r="L1958" s="1466" t="s">
        <v>2127</v>
      </c>
      <c r="M1958" s="1467">
        <v>8.4419999999999999E-3</v>
      </c>
      <c r="N1958" s="1468">
        <v>1.6014041480776393</v>
      </c>
      <c r="O1958" s="1468"/>
    </row>
    <row r="1959" spans="11:15">
      <c r="K1959" s="1465">
        <v>44016</v>
      </c>
      <c r="L1959" s="1466"/>
      <c r="M1959" s="1467">
        <v>0</v>
      </c>
      <c r="N1959" s="1468">
        <v>1.6014041480776393</v>
      </c>
      <c r="O1959" s="1468"/>
    </row>
    <row r="1960" spans="11:15">
      <c r="K1960" s="1465">
        <v>44017</v>
      </c>
      <c r="L1960" s="1466"/>
      <c r="M1960" s="1467">
        <v>0</v>
      </c>
      <c r="N1960" s="1468">
        <v>1.6014041480776393</v>
      </c>
      <c r="O1960" s="1468"/>
    </row>
    <row r="1961" spans="11:15">
      <c r="K1961" s="1465">
        <v>44018</v>
      </c>
      <c r="L1961" s="1466" t="s">
        <v>2127</v>
      </c>
      <c r="M1961" s="1467">
        <v>8.4419999999999999E-3</v>
      </c>
      <c r="N1961" s="1468">
        <v>1.6015393386158201</v>
      </c>
      <c r="O1961" s="1468"/>
    </row>
    <row r="1962" spans="11:15">
      <c r="K1962" s="1465">
        <v>44019</v>
      </c>
      <c r="L1962" s="1466" t="s">
        <v>2127</v>
      </c>
      <c r="M1962" s="1467">
        <v>8.4419999999999999E-3</v>
      </c>
      <c r="N1962" s="1468">
        <v>1.6016745405667863</v>
      </c>
      <c r="O1962" s="1468"/>
    </row>
    <row r="1963" spans="11:15">
      <c r="K1963" s="1465">
        <v>44020</v>
      </c>
      <c r="L1963" s="1466" t="s">
        <v>2127</v>
      </c>
      <c r="M1963" s="1467">
        <v>8.4419999999999999E-3</v>
      </c>
      <c r="N1963" s="1468">
        <v>1.601809753931501</v>
      </c>
      <c r="O1963" s="1468"/>
    </row>
    <row r="1964" spans="11:15">
      <c r="K1964" s="1465">
        <v>44021</v>
      </c>
      <c r="L1964" s="1466" t="s">
        <v>2127</v>
      </c>
      <c r="M1964" s="1467">
        <v>8.4419999999999999E-3</v>
      </c>
      <c r="N1964" s="1468">
        <v>1.6019449787109281</v>
      </c>
      <c r="O1964" s="1468"/>
    </row>
    <row r="1965" spans="11:15">
      <c r="K1965" s="1465">
        <v>44022</v>
      </c>
      <c r="L1965" s="1466" t="s">
        <v>2127</v>
      </c>
      <c r="M1965" s="1467">
        <v>8.4419999999999999E-3</v>
      </c>
      <c r="N1965" s="1468">
        <v>1.6020802149060309</v>
      </c>
      <c r="O1965" s="1468"/>
    </row>
    <row r="1966" spans="11:15">
      <c r="K1966" s="1465">
        <v>44023</v>
      </c>
      <c r="L1966" s="1466"/>
      <c r="M1966" s="1467">
        <v>0</v>
      </c>
      <c r="N1966" s="1468">
        <v>1.6020802149060309</v>
      </c>
      <c r="O1966" s="1468"/>
    </row>
    <row r="1967" spans="11:15">
      <c r="K1967" s="1465">
        <v>44024</v>
      </c>
      <c r="L1967" s="1466"/>
      <c r="M1967" s="1467">
        <v>0</v>
      </c>
      <c r="N1967" s="1468">
        <v>1.6020802149060309</v>
      </c>
      <c r="O1967" s="1468"/>
    </row>
    <row r="1968" spans="11:15">
      <c r="K1968" s="1465">
        <v>44025</v>
      </c>
      <c r="L1968" s="1466" t="s">
        <v>2127</v>
      </c>
      <c r="M1968" s="1467">
        <v>8.4419999999999999E-3</v>
      </c>
      <c r="N1968" s="1468">
        <v>1.6022154625177734</v>
      </c>
      <c r="O1968" s="1468"/>
    </row>
    <row r="1969" spans="11:15">
      <c r="K1969" s="1465">
        <v>44026</v>
      </c>
      <c r="L1969" s="1466" t="s">
        <v>2127</v>
      </c>
      <c r="M1969" s="1467">
        <v>8.4419999999999999E-3</v>
      </c>
      <c r="N1969" s="1468">
        <v>1.6023507215471193</v>
      </c>
      <c r="O1969" s="1468"/>
    </row>
    <row r="1970" spans="11:15">
      <c r="K1970" s="1465">
        <v>44027</v>
      </c>
      <c r="L1970" s="1466" t="s">
        <v>2127</v>
      </c>
      <c r="M1970" s="1467">
        <v>8.4419999999999999E-3</v>
      </c>
      <c r="N1970" s="1468">
        <v>1.6024859919950325</v>
      </c>
      <c r="O1970" s="1468"/>
    </row>
    <row r="1971" spans="11:15">
      <c r="K1971" s="1465">
        <v>44028</v>
      </c>
      <c r="L1971" s="1466" t="s">
        <v>2127</v>
      </c>
      <c r="M1971" s="1467">
        <v>8.4419999999999999E-3</v>
      </c>
      <c r="N1971" s="1468">
        <v>1.6026212738624768</v>
      </c>
      <c r="O1971" s="1468"/>
    </row>
    <row r="1972" spans="11:15">
      <c r="K1972" s="1465">
        <v>44029</v>
      </c>
      <c r="L1972" s="1466" t="s">
        <v>2127</v>
      </c>
      <c r="M1972" s="1467">
        <v>8.4419999999999999E-3</v>
      </c>
      <c r="N1972" s="1468">
        <v>1.6027565671504165</v>
      </c>
      <c r="O1972" s="1468"/>
    </row>
    <row r="1973" spans="11:15">
      <c r="K1973" s="1465">
        <v>44030</v>
      </c>
      <c r="L1973" s="1466"/>
      <c r="M1973" s="1467">
        <v>0</v>
      </c>
      <c r="N1973" s="1468">
        <v>1.6027565671504165</v>
      </c>
      <c r="O1973" s="1468"/>
    </row>
    <row r="1974" spans="11:15">
      <c r="K1974" s="1465">
        <v>44031</v>
      </c>
      <c r="L1974" s="1466"/>
      <c r="M1974" s="1467">
        <v>0</v>
      </c>
      <c r="N1974" s="1468">
        <v>1.6027565671504165</v>
      </c>
      <c r="O1974" s="1468"/>
    </row>
    <row r="1975" spans="11:15">
      <c r="K1975" s="1465">
        <v>44032</v>
      </c>
      <c r="L1975" s="1466" t="s">
        <v>2127</v>
      </c>
      <c r="M1975" s="1467">
        <v>8.4419999999999999E-3</v>
      </c>
      <c r="N1975" s="1468">
        <v>1.6028918718598155</v>
      </c>
      <c r="O1975" s="1468"/>
    </row>
    <row r="1976" spans="11:15">
      <c r="K1976" s="1465">
        <v>44033</v>
      </c>
      <c r="L1976" s="1466" t="s">
        <v>2127</v>
      </c>
      <c r="M1976" s="1467">
        <v>8.4419999999999999E-3</v>
      </c>
      <c r="N1976" s="1468">
        <v>1.603027187991638</v>
      </c>
      <c r="O1976" s="1468"/>
    </row>
    <row r="1977" spans="11:15">
      <c r="K1977" s="1465">
        <v>44034</v>
      </c>
      <c r="L1977" s="1466" t="s">
        <v>2127</v>
      </c>
      <c r="M1977" s="1467">
        <v>8.4419999999999999E-3</v>
      </c>
      <c r="N1977" s="1468">
        <v>1.6031625155468483</v>
      </c>
      <c r="O1977" s="1468"/>
    </row>
    <row r="1978" spans="11:15">
      <c r="K1978" s="1465">
        <v>44035</v>
      </c>
      <c r="L1978" s="1466" t="s">
        <v>2127</v>
      </c>
      <c r="M1978" s="1467">
        <v>8.4419999999999999E-3</v>
      </c>
      <c r="N1978" s="1468">
        <v>1.6032978545264109</v>
      </c>
      <c r="O1978" s="1468"/>
    </row>
    <row r="1979" spans="11:15">
      <c r="K1979" s="1465">
        <v>44036</v>
      </c>
      <c r="L1979" s="1466" t="s">
        <v>2127</v>
      </c>
      <c r="M1979" s="1467">
        <v>8.4419999999999999E-3</v>
      </c>
      <c r="N1979" s="1468">
        <v>1.6034332049312903</v>
      </c>
      <c r="O1979" s="1468"/>
    </row>
    <row r="1980" spans="11:15">
      <c r="K1980" s="1465">
        <v>44037</v>
      </c>
      <c r="L1980" s="1466"/>
      <c r="M1980" s="1467">
        <v>0</v>
      </c>
      <c r="N1980" s="1468">
        <v>1.6034332049312903</v>
      </c>
      <c r="O1980" s="1468"/>
    </row>
    <row r="1981" spans="11:15">
      <c r="K1981" s="1465">
        <v>44038</v>
      </c>
      <c r="L1981" s="1466"/>
      <c r="M1981" s="1467">
        <v>0</v>
      </c>
      <c r="N1981" s="1468">
        <v>1.6034332049312903</v>
      </c>
      <c r="O1981" s="1468"/>
    </row>
    <row r="1982" spans="11:15">
      <c r="K1982" s="1465">
        <v>44039</v>
      </c>
      <c r="L1982" s="1466" t="s">
        <v>2127</v>
      </c>
      <c r="M1982" s="1467">
        <v>8.4419999999999999E-3</v>
      </c>
      <c r="N1982" s="1468">
        <v>1.6035685667624506</v>
      </c>
      <c r="O1982" s="1468"/>
    </row>
    <row r="1983" spans="11:15">
      <c r="K1983" s="1465">
        <v>44040</v>
      </c>
      <c r="L1983" s="1466" t="s">
        <v>2127</v>
      </c>
      <c r="M1983" s="1467">
        <v>8.4419999999999999E-3</v>
      </c>
      <c r="N1983" s="1468">
        <v>1.6037039400208568</v>
      </c>
      <c r="O1983" s="1468"/>
    </row>
    <row r="1984" spans="11:15">
      <c r="K1984" s="1465">
        <v>44041</v>
      </c>
      <c r="L1984" s="1466" t="s">
        <v>2127</v>
      </c>
      <c r="M1984" s="1467">
        <v>8.4419999999999999E-3</v>
      </c>
      <c r="N1984" s="1468">
        <v>1.6038393247074736</v>
      </c>
      <c r="O1984" s="1468"/>
    </row>
    <row r="1985" spans="11:15">
      <c r="K1985" s="1465">
        <v>44042</v>
      </c>
      <c r="L1985" s="1466" t="s">
        <v>2127</v>
      </c>
      <c r="M1985" s="1467">
        <v>8.4419999999999999E-3</v>
      </c>
      <c r="N1985" s="1468">
        <v>1.6039747208232655</v>
      </c>
      <c r="O1985" s="1468"/>
    </row>
    <row r="1986" spans="11:15">
      <c r="K1986" s="1465">
        <v>44043</v>
      </c>
      <c r="L1986" s="1466" t="s">
        <v>2127</v>
      </c>
      <c r="M1986" s="1467">
        <v>8.4419999999999999E-3</v>
      </c>
      <c r="N1986" s="1468">
        <v>1.6041101283691976</v>
      </c>
      <c r="O1986" s="1468"/>
    </row>
    <row r="1987" spans="11:15">
      <c r="K1987" s="1465">
        <v>44044</v>
      </c>
      <c r="L1987" s="1466"/>
      <c r="M1987" s="1467">
        <v>0</v>
      </c>
      <c r="N1987" s="1468">
        <v>1.6041101283691976</v>
      </c>
      <c r="O1987" s="1468"/>
    </row>
    <row r="1988" spans="11:15">
      <c r="K1988" s="1465">
        <v>44045</v>
      </c>
      <c r="L1988" s="1466"/>
      <c r="M1988" s="1467">
        <v>0</v>
      </c>
      <c r="N1988" s="1468">
        <v>1.6041101283691976</v>
      </c>
      <c r="O1988" s="1468"/>
    </row>
    <row r="1989" spans="11:15">
      <c r="K1989" s="1465">
        <v>44046</v>
      </c>
      <c r="L1989" s="1466" t="s">
        <v>2127</v>
      </c>
      <c r="M1989" s="1467">
        <v>8.4419999999999999E-3</v>
      </c>
      <c r="N1989" s="1468">
        <v>1.6042455473462347</v>
      </c>
      <c r="O1989" s="1468"/>
    </row>
    <row r="1990" spans="11:15">
      <c r="K1990" s="1465">
        <v>44047</v>
      </c>
      <c r="L1990" s="1466" t="s">
        <v>2127</v>
      </c>
      <c r="M1990" s="1467">
        <v>8.4419999999999999E-3</v>
      </c>
      <c r="N1990" s="1468">
        <v>1.6043809777553417</v>
      </c>
      <c r="O1990" s="1468"/>
    </row>
    <row r="1991" spans="11:15">
      <c r="K1991" s="1465">
        <v>44048</v>
      </c>
      <c r="L1991" s="1466" t="s">
        <v>2127</v>
      </c>
      <c r="M1991" s="1467">
        <v>8.4419999999999999E-3</v>
      </c>
      <c r="N1991" s="1468">
        <v>1.6045164195974839</v>
      </c>
      <c r="O1991" s="1468"/>
    </row>
    <row r="1992" spans="11:15">
      <c r="K1992" s="1465">
        <v>44049</v>
      </c>
      <c r="L1992" s="1466" t="s">
        <v>2127</v>
      </c>
      <c r="M1992" s="1467">
        <v>7.4689999999999999E-3</v>
      </c>
      <c r="N1992" s="1468">
        <v>1.6046362609288636</v>
      </c>
      <c r="O1992" s="1468"/>
    </row>
    <row r="1993" spans="11:15">
      <c r="K1993" s="1465">
        <v>44050</v>
      </c>
      <c r="L1993" s="1466" t="s">
        <v>2127</v>
      </c>
      <c r="M1993" s="1467">
        <v>7.4689999999999999E-3</v>
      </c>
      <c r="N1993" s="1468">
        <v>1.6047561112111923</v>
      </c>
      <c r="O1993" s="1468"/>
    </row>
    <row r="1994" spans="11:15">
      <c r="K1994" s="1465">
        <v>44051</v>
      </c>
      <c r="L1994" s="1466"/>
      <c r="M1994" s="1467">
        <v>0</v>
      </c>
      <c r="N1994" s="1468">
        <v>1.6047561112111923</v>
      </c>
      <c r="O1994" s="1468"/>
    </row>
    <row r="1995" spans="11:15">
      <c r="K1995" s="1465">
        <v>44052</v>
      </c>
      <c r="L1995" s="1466"/>
      <c r="M1995" s="1467">
        <v>0</v>
      </c>
      <c r="N1995" s="1468">
        <v>1.6047561112111923</v>
      </c>
      <c r="O1995" s="1468"/>
    </row>
    <row r="1996" spans="11:15">
      <c r="K1996" s="1465">
        <v>44053</v>
      </c>
      <c r="L1996" s="1466" t="s">
        <v>2127</v>
      </c>
      <c r="M1996" s="1467">
        <v>7.4689999999999999E-3</v>
      </c>
      <c r="N1996" s="1468">
        <v>1.6048759704451385</v>
      </c>
      <c r="O1996" s="1468"/>
    </row>
    <row r="1997" spans="11:15">
      <c r="K1997" s="1465">
        <v>44054</v>
      </c>
      <c r="L1997" s="1466" t="s">
        <v>2127</v>
      </c>
      <c r="M1997" s="1467">
        <v>7.4689999999999999E-3</v>
      </c>
      <c r="N1997" s="1468">
        <v>1.604995838631371</v>
      </c>
      <c r="O1997" s="1468"/>
    </row>
    <row r="1998" spans="11:15">
      <c r="K1998" s="1465">
        <v>44055</v>
      </c>
      <c r="L1998" s="1466" t="s">
        <v>2127</v>
      </c>
      <c r="M1998" s="1467">
        <v>7.4689999999999999E-3</v>
      </c>
      <c r="N1998" s="1468">
        <v>1.6051157157705582</v>
      </c>
      <c r="O1998" s="1468"/>
    </row>
    <row r="1999" spans="11:15">
      <c r="K1999" s="1465">
        <v>44056</v>
      </c>
      <c r="L1999" s="1466" t="s">
        <v>2127</v>
      </c>
      <c r="M1999" s="1467">
        <v>7.4689999999999999E-3</v>
      </c>
      <c r="N1999" s="1468">
        <v>1.6052356018633691</v>
      </c>
      <c r="O1999" s="1468"/>
    </row>
    <row r="2000" spans="11:15">
      <c r="K2000" s="1465">
        <v>44057</v>
      </c>
      <c r="L2000" s="1466" t="s">
        <v>2127</v>
      </c>
      <c r="M2000" s="1467">
        <v>7.4689999999999999E-3</v>
      </c>
      <c r="N2000" s="1468">
        <v>1.6053554969104722</v>
      </c>
      <c r="O2000" s="1468"/>
    </row>
    <row r="2001" spans="11:15">
      <c r="K2001" s="1465">
        <v>44058</v>
      </c>
      <c r="L2001" s="1466"/>
      <c r="M2001" s="1467">
        <v>0</v>
      </c>
      <c r="N2001" s="1468">
        <v>1.6053554969104722</v>
      </c>
      <c r="O2001" s="1468"/>
    </row>
    <row r="2002" spans="11:15">
      <c r="K2002" s="1465">
        <v>44059</v>
      </c>
      <c r="L2002" s="1466"/>
      <c r="M2002" s="1467">
        <v>0</v>
      </c>
      <c r="N2002" s="1468">
        <v>1.6053554969104722</v>
      </c>
      <c r="O2002" s="1468"/>
    </row>
    <row r="2003" spans="11:15">
      <c r="K2003" s="1465">
        <v>44060</v>
      </c>
      <c r="L2003" s="1466" t="s">
        <v>2127</v>
      </c>
      <c r="M2003" s="1467">
        <v>7.4689999999999999E-3</v>
      </c>
      <c r="N2003" s="1468">
        <v>1.6054754009125363</v>
      </c>
      <c r="O2003" s="1468"/>
    </row>
    <row r="2004" spans="11:15">
      <c r="K2004" s="1465">
        <v>44061</v>
      </c>
      <c r="L2004" s="1466" t="s">
        <v>2127</v>
      </c>
      <c r="M2004" s="1467">
        <v>7.4689999999999999E-3</v>
      </c>
      <c r="N2004" s="1468">
        <v>1.6055953138702304</v>
      </c>
      <c r="O2004" s="1468"/>
    </row>
    <row r="2005" spans="11:15">
      <c r="K2005" s="1465">
        <v>44062</v>
      </c>
      <c r="L2005" s="1466" t="s">
        <v>2127</v>
      </c>
      <c r="M2005" s="1467">
        <v>7.4689999999999999E-3</v>
      </c>
      <c r="N2005" s="1468">
        <v>1.6057152357842233</v>
      </c>
      <c r="O2005" s="1468"/>
    </row>
    <row r="2006" spans="11:15">
      <c r="K2006" s="1465">
        <v>44063</v>
      </c>
      <c r="L2006" s="1466" t="s">
        <v>2127</v>
      </c>
      <c r="M2006" s="1467">
        <v>7.4689999999999999E-3</v>
      </c>
      <c r="N2006" s="1468">
        <v>1.6058351666551838</v>
      </c>
      <c r="O2006" s="1468"/>
    </row>
    <row r="2007" spans="11:15">
      <c r="K2007" s="1465">
        <v>44064</v>
      </c>
      <c r="L2007" s="1466" t="s">
        <v>2127</v>
      </c>
      <c r="M2007" s="1467">
        <v>7.4689999999999999E-3</v>
      </c>
      <c r="N2007" s="1468">
        <v>1.6059551064837811</v>
      </c>
      <c r="O2007" s="1468"/>
    </row>
    <row r="2008" spans="11:15">
      <c r="K2008" s="1465">
        <v>44065</v>
      </c>
      <c r="L2008" s="1466"/>
      <c r="M2008" s="1467">
        <v>0</v>
      </c>
      <c r="N2008" s="1468">
        <v>1.6059551064837811</v>
      </c>
      <c r="O2008" s="1468"/>
    </row>
    <row r="2009" spans="11:15">
      <c r="K2009" s="1465">
        <v>44066</v>
      </c>
      <c r="L2009" s="1466"/>
      <c r="M2009" s="1467">
        <v>0</v>
      </c>
      <c r="N2009" s="1468">
        <v>1.6059551064837811</v>
      </c>
      <c r="O2009" s="1468"/>
    </row>
    <row r="2010" spans="11:15">
      <c r="K2010" s="1465">
        <v>44067</v>
      </c>
      <c r="L2010" s="1466" t="s">
        <v>2127</v>
      </c>
      <c r="M2010" s="1467">
        <v>7.4689999999999999E-3</v>
      </c>
      <c r="N2010" s="1468">
        <v>1.6060750552706844</v>
      </c>
      <c r="O2010" s="1468"/>
    </row>
    <row r="2011" spans="11:15">
      <c r="K2011" s="1465">
        <v>44068</v>
      </c>
      <c r="L2011" s="1466" t="s">
        <v>2127</v>
      </c>
      <c r="M2011" s="1467">
        <v>7.4689999999999999E-3</v>
      </c>
      <c r="N2011" s="1468">
        <v>1.6061950130165625</v>
      </c>
      <c r="O2011" s="1468"/>
    </row>
    <row r="2012" spans="11:15">
      <c r="K2012" s="1465">
        <v>44069</v>
      </c>
      <c r="L2012" s="1466" t="s">
        <v>2127</v>
      </c>
      <c r="M2012" s="1467">
        <v>7.4689999999999999E-3</v>
      </c>
      <c r="N2012" s="1468">
        <v>1.6063149797220846</v>
      </c>
      <c r="O2012" s="1468"/>
    </row>
    <row r="2013" spans="11:15">
      <c r="K2013" s="1465">
        <v>44070</v>
      </c>
      <c r="L2013" s="1466" t="s">
        <v>2127</v>
      </c>
      <c r="M2013" s="1467">
        <v>7.4689999999999999E-3</v>
      </c>
      <c r="N2013" s="1468">
        <v>1.60643495538792</v>
      </c>
      <c r="O2013" s="1468"/>
    </row>
    <row r="2014" spans="11:15">
      <c r="K2014" s="1465">
        <v>44071</v>
      </c>
      <c r="L2014" s="1466" t="s">
        <v>2127</v>
      </c>
      <c r="M2014" s="1467">
        <v>7.4689999999999999E-3</v>
      </c>
      <c r="N2014" s="1468">
        <v>1.6065549400147379</v>
      </c>
      <c r="O2014" s="1468"/>
    </row>
    <row r="2015" spans="11:15">
      <c r="K2015" s="1465">
        <v>44072</v>
      </c>
      <c r="L2015" s="1466"/>
      <c r="M2015" s="1467">
        <v>0</v>
      </c>
      <c r="N2015" s="1468">
        <v>1.6065549400147379</v>
      </c>
      <c r="O2015" s="1468"/>
    </row>
    <row r="2016" spans="11:15">
      <c r="K2016" s="1465">
        <v>44073</v>
      </c>
      <c r="L2016" s="1466"/>
      <c r="M2016" s="1467">
        <v>0</v>
      </c>
      <c r="N2016" s="1468">
        <v>1.6065549400147379</v>
      </c>
      <c r="O2016" s="1468"/>
    </row>
    <row r="2017" spans="11:15">
      <c r="K2017" s="1465">
        <v>44074</v>
      </c>
      <c r="L2017" s="1466" t="s">
        <v>2127</v>
      </c>
      <c r="M2017" s="1467">
        <v>7.4689999999999999E-3</v>
      </c>
      <c r="N2017" s="1468">
        <v>1.6066749336032076</v>
      </c>
      <c r="O2017" s="1468"/>
    </row>
    <row r="2018" spans="11:15">
      <c r="K2018" s="1465">
        <v>44075</v>
      </c>
      <c r="L2018" s="1466" t="s">
        <v>2127</v>
      </c>
      <c r="M2018" s="1467">
        <v>7.4689999999999999E-3</v>
      </c>
      <c r="N2018" s="1468">
        <v>1.6067949361539984</v>
      </c>
      <c r="O2018" s="1468"/>
    </row>
    <row r="2019" spans="11:15">
      <c r="K2019" s="1465">
        <v>44076</v>
      </c>
      <c r="L2019" s="1466" t="s">
        <v>2127</v>
      </c>
      <c r="M2019" s="1467">
        <v>7.4689999999999999E-3</v>
      </c>
      <c r="N2019" s="1468">
        <v>1.6069149476677795</v>
      </c>
      <c r="O2019" s="1468"/>
    </row>
    <row r="2020" spans="11:15">
      <c r="K2020" s="1465">
        <v>44077</v>
      </c>
      <c r="L2020" s="1466" t="s">
        <v>2127</v>
      </c>
      <c r="M2020" s="1467">
        <v>7.4689999999999999E-3</v>
      </c>
      <c r="N2020" s="1468">
        <v>1.6070349681452207</v>
      </c>
      <c r="O2020" s="1468"/>
    </row>
    <row r="2021" spans="11:15">
      <c r="K2021" s="1465">
        <v>44078</v>
      </c>
      <c r="L2021" s="1466" t="s">
        <v>2127</v>
      </c>
      <c r="M2021" s="1467">
        <v>7.4689999999999999E-3</v>
      </c>
      <c r="N2021" s="1468">
        <v>1.6071549975869914</v>
      </c>
      <c r="O2021" s="1468"/>
    </row>
    <row r="2022" spans="11:15">
      <c r="K2022" s="1465">
        <v>44079</v>
      </c>
      <c r="L2022" s="1466"/>
      <c r="M2022" s="1467">
        <v>0</v>
      </c>
      <c r="N2022" s="1468">
        <v>1.6071549975869914</v>
      </c>
      <c r="O2022" s="1468"/>
    </row>
    <row r="2023" spans="11:15">
      <c r="K2023" s="1465">
        <v>44080</v>
      </c>
      <c r="L2023" s="1466"/>
      <c r="M2023" s="1467">
        <v>0</v>
      </c>
      <c r="N2023" s="1468">
        <v>1.6071549975869914</v>
      </c>
      <c r="O2023" s="1468"/>
    </row>
    <row r="2024" spans="11:15">
      <c r="K2024" s="1465">
        <v>44081</v>
      </c>
      <c r="L2024" s="1466"/>
      <c r="M2024" s="1467">
        <v>0</v>
      </c>
      <c r="N2024" s="1468">
        <v>1.6071549975869914</v>
      </c>
      <c r="O2024" s="1468"/>
    </row>
    <row r="2025" spans="11:15">
      <c r="K2025" s="1465">
        <v>44082</v>
      </c>
      <c r="L2025" s="1466" t="s">
        <v>2127</v>
      </c>
      <c r="M2025" s="1467">
        <v>7.4689999999999999E-3</v>
      </c>
      <c r="N2025" s="1468">
        <v>1.6072750359937611</v>
      </c>
      <c r="O2025" s="1468"/>
    </row>
    <row r="2026" spans="11:15">
      <c r="K2026" s="1465">
        <v>44083</v>
      </c>
      <c r="L2026" s="1466" t="s">
        <v>2127</v>
      </c>
      <c r="M2026" s="1467">
        <v>7.4689999999999999E-3</v>
      </c>
      <c r="N2026" s="1468">
        <v>1.6073950833661994</v>
      </c>
      <c r="O2026" s="1468"/>
    </row>
    <row r="2027" spans="11:15">
      <c r="K2027" s="1465">
        <v>44084</v>
      </c>
      <c r="L2027" s="1466" t="s">
        <v>2127</v>
      </c>
      <c r="M2027" s="1467">
        <v>7.4689999999999999E-3</v>
      </c>
      <c r="N2027" s="1468">
        <v>1.6075151397049758</v>
      </c>
      <c r="O2027" s="1468"/>
    </row>
    <row r="2028" spans="11:15">
      <c r="K2028" s="1465">
        <v>44085</v>
      </c>
      <c r="L2028" s="1466" t="s">
        <v>2127</v>
      </c>
      <c r="M2028" s="1467">
        <v>7.4689999999999999E-3</v>
      </c>
      <c r="N2028" s="1468">
        <v>1.6076352050107603</v>
      </c>
      <c r="O2028" s="1468"/>
    </row>
    <row r="2029" spans="11:15">
      <c r="K2029" s="1465">
        <v>44086</v>
      </c>
      <c r="L2029" s="1466"/>
      <c r="M2029" s="1467">
        <v>0</v>
      </c>
      <c r="N2029" s="1468">
        <v>1.6076352050107603</v>
      </c>
      <c r="O2029" s="1468"/>
    </row>
    <row r="2030" spans="11:15">
      <c r="K2030" s="1465">
        <v>44087</v>
      </c>
      <c r="L2030" s="1466"/>
      <c r="M2030" s="1467">
        <v>0</v>
      </c>
      <c r="N2030" s="1468">
        <v>1.6076352050107603</v>
      </c>
      <c r="O2030" s="1468"/>
    </row>
    <row r="2031" spans="11:15">
      <c r="K2031" s="1465">
        <v>44088</v>
      </c>
      <c r="L2031" s="1466" t="s">
        <v>2127</v>
      </c>
      <c r="M2031" s="1467">
        <v>7.4689999999999999E-3</v>
      </c>
      <c r="N2031" s="1468">
        <v>1.6077552792842225</v>
      </c>
      <c r="O2031" s="1468"/>
    </row>
    <row r="2032" spans="11:15">
      <c r="K2032" s="1465">
        <v>44089</v>
      </c>
      <c r="L2032" s="1466" t="s">
        <v>2127</v>
      </c>
      <c r="M2032" s="1467">
        <v>7.4689999999999999E-3</v>
      </c>
      <c r="N2032" s="1468">
        <v>1.607875362526032</v>
      </c>
      <c r="O2032" s="1468"/>
    </row>
    <row r="2033" spans="11:15">
      <c r="K2033" s="1465">
        <v>44090</v>
      </c>
      <c r="L2033" s="1466" t="s">
        <v>2127</v>
      </c>
      <c r="M2033" s="1467">
        <v>7.4689999999999999E-3</v>
      </c>
      <c r="N2033" s="1468">
        <v>1.6079954547368589</v>
      </c>
      <c r="O2033" s="1468"/>
    </row>
    <row r="2034" spans="11:15">
      <c r="K2034" s="1465">
        <v>44091</v>
      </c>
      <c r="L2034" s="1466" t="s">
        <v>2127</v>
      </c>
      <c r="M2034" s="1467">
        <v>7.4689999999999999E-3</v>
      </c>
      <c r="N2034" s="1468">
        <v>1.608115555917373</v>
      </c>
      <c r="O2034" s="1468"/>
    </row>
    <row r="2035" spans="11:15">
      <c r="K2035" s="1465">
        <v>44092</v>
      </c>
      <c r="L2035" s="1466" t="s">
        <v>2127</v>
      </c>
      <c r="M2035" s="1467">
        <v>7.4689999999999999E-3</v>
      </c>
      <c r="N2035" s="1468">
        <v>1.6082356660682444</v>
      </c>
      <c r="O2035" s="1468"/>
    </row>
    <row r="2036" spans="11:15">
      <c r="K2036" s="1465">
        <v>44093</v>
      </c>
      <c r="L2036" s="1466"/>
      <c r="M2036" s="1467">
        <v>0</v>
      </c>
      <c r="N2036" s="1468">
        <v>1.6082356660682444</v>
      </c>
      <c r="O2036" s="1468"/>
    </row>
    <row r="2037" spans="11:15">
      <c r="K2037" s="1465">
        <v>44094</v>
      </c>
      <c r="L2037" s="1466"/>
      <c r="M2037" s="1467">
        <v>0</v>
      </c>
      <c r="N2037" s="1468">
        <v>1.6082356660682444</v>
      </c>
      <c r="O2037" s="1468"/>
    </row>
    <row r="2038" spans="11:15">
      <c r="K2038" s="1465">
        <v>44095</v>
      </c>
      <c r="L2038" s="1466" t="s">
        <v>2127</v>
      </c>
      <c r="M2038" s="1467">
        <v>7.4689999999999999E-3</v>
      </c>
      <c r="N2038" s="1468">
        <v>1.6083557851901429</v>
      </c>
      <c r="O2038" s="1468"/>
    </row>
    <row r="2039" spans="11:15">
      <c r="K2039" s="1465">
        <v>44096</v>
      </c>
      <c r="L2039" s="1466" t="s">
        <v>2127</v>
      </c>
      <c r="M2039" s="1467">
        <v>7.4689999999999999E-3</v>
      </c>
      <c r="N2039" s="1468">
        <v>1.6084759132837387</v>
      </c>
      <c r="O2039" s="1468"/>
    </row>
    <row r="2040" spans="11:15">
      <c r="K2040" s="1465">
        <v>44097</v>
      </c>
      <c r="L2040" s="1466" t="s">
        <v>2127</v>
      </c>
      <c r="M2040" s="1467">
        <v>7.4689999999999999E-3</v>
      </c>
      <c r="N2040" s="1468">
        <v>1.6085960503497019</v>
      </c>
      <c r="O2040" s="1468"/>
    </row>
    <row r="2041" spans="11:15">
      <c r="K2041" s="1465">
        <v>44098</v>
      </c>
      <c r="L2041" s="1466" t="s">
        <v>2127</v>
      </c>
      <c r="M2041" s="1467">
        <v>7.4689999999999999E-3</v>
      </c>
      <c r="N2041" s="1468">
        <v>1.6087161963887024</v>
      </c>
      <c r="O2041" s="1468"/>
    </row>
    <row r="2042" spans="11:15">
      <c r="K2042" s="1465">
        <v>44099</v>
      </c>
      <c r="L2042" s="1466" t="s">
        <v>2127</v>
      </c>
      <c r="M2042" s="1467">
        <v>7.4689999999999999E-3</v>
      </c>
      <c r="N2042" s="1468">
        <v>1.6088363514014106</v>
      </c>
      <c r="O2042" s="1468"/>
    </row>
    <row r="2043" spans="11:15">
      <c r="K2043" s="1465">
        <v>44100</v>
      </c>
      <c r="L2043" s="1466"/>
      <c r="M2043" s="1467">
        <v>0</v>
      </c>
      <c r="N2043" s="1468">
        <v>1.6088363514014106</v>
      </c>
      <c r="O2043" s="1468"/>
    </row>
    <row r="2044" spans="11:15">
      <c r="K2044" s="1465">
        <v>44101</v>
      </c>
      <c r="L2044" s="1466"/>
      <c r="M2044" s="1467">
        <v>0</v>
      </c>
      <c r="N2044" s="1468">
        <v>1.6088363514014106</v>
      </c>
      <c r="O2044" s="1468"/>
    </row>
    <row r="2045" spans="11:15">
      <c r="K2045" s="1465">
        <v>44102</v>
      </c>
      <c r="L2045" s="1466" t="s">
        <v>2127</v>
      </c>
      <c r="M2045" s="1467">
        <v>7.4689999999999999E-3</v>
      </c>
      <c r="N2045" s="1468">
        <v>1.6089565153884966</v>
      </c>
      <c r="O2045" s="1468"/>
    </row>
    <row r="2046" spans="11:15">
      <c r="K2046" s="1465">
        <v>44103</v>
      </c>
      <c r="L2046" s="1466" t="s">
        <v>2127</v>
      </c>
      <c r="M2046" s="1467">
        <v>7.4689999999999999E-3</v>
      </c>
      <c r="N2046" s="1468">
        <v>1.6090766883506309</v>
      </c>
      <c r="O2046" s="1468"/>
    </row>
    <row r="2047" spans="11:15">
      <c r="K2047" s="1465">
        <v>44104</v>
      </c>
      <c r="L2047" s="1466" t="s">
        <v>2127</v>
      </c>
      <c r="M2047" s="1467">
        <v>7.4689999999999999E-3</v>
      </c>
      <c r="N2047" s="1468">
        <v>1.6091968702884838</v>
      </c>
      <c r="O2047" s="1468"/>
    </row>
    <row r="2048" spans="11:15">
      <c r="K2048" s="1465">
        <v>44105</v>
      </c>
      <c r="L2048" s="1466" t="s">
        <v>2127</v>
      </c>
      <c r="M2048" s="1467">
        <v>7.4689999999999999E-3</v>
      </c>
      <c r="N2048" s="1468">
        <v>1.6093170612027254</v>
      </c>
      <c r="O2048" s="1468"/>
    </row>
    <row r="2049" spans="11:15">
      <c r="K2049" s="1465">
        <v>44106</v>
      </c>
      <c r="L2049" s="1466" t="s">
        <v>2127</v>
      </c>
      <c r="M2049" s="1467">
        <v>7.4689999999999999E-3</v>
      </c>
      <c r="N2049" s="1468">
        <v>1.6094372610940266</v>
      </c>
      <c r="O2049" s="1468"/>
    </row>
    <row r="2050" spans="11:15">
      <c r="K2050" s="1465">
        <v>44107</v>
      </c>
      <c r="L2050" s="1466"/>
      <c r="M2050" s="1467">
        <v>0</v>
      </c>
      <c r="N2050" s="1468">
        <v>1.6094372610940266</v>
      </c>
      <c r="O2050" s="1468"/>
    </row>
    <row r="2051" spans="11:15">
      <c r="K2051" s="1465">
        <v>44108</v>
      </c>
      <c r="L2051" s="1466"/>
      <c r="M2051" s="1467">
        <v>0</v>
      </c>
      <c r="N2051" s="1468">
        <v>1.6094372610940266</v>
      </c>
      <c r="O2051" s="1468"/>
    </row>
    <row r="2052" spans="11:15">
      <c r="K2052" s="1465">
        <v>44109</v>
      </c>
      <c r="L2052" s="1466" t="s">
        <v>2127</v>
      </c>
      <c r="M2052" s="1467">
        <v>7.4689999999999999E-3</v>
      </c>
      <c r="N2052" s="1468">
        <v>1.6095574699630577</v>
      </c>
      <c r="O2052" s="1468"/>
    </row>
    <row r="2053" spans="11:15">
      <c r="K2053" s="1465">
        <v>44110</v>
      </c>
      <c r="L2053" s="1466" t="s">
        <v>2127</v>
      </c>
      <c r="M2053" s="1467">
        <v>7.4689999999999999E-3</v>
      </c>
      <c r="N2053" s="1468">
        <v>1.609677687810489</v>
      </c>
      <c r="O2053" s="1468"/>
    </row>
    <row r="2054" spans="11:15">
      <c r="K2054" s="1465">
        <v>44111</v>
      </c>
      <c r="L2054" s="1466" t="s">
        <v>2127</v>
      </c>
      <c r="M2054" s="1467">
        <v>7.4689999999999999E-3</v>
      </c>
      <c r="N2054" s="1468">
        <v>1.6097979146369914</v>
      </c>
      <c r="O2054" s="1468"/>
    </row>
    <row r="2055" spans="11:15">
      <c r="K2055" s="1465">
        <v>44112</v>
      </c>
      <c r="L2055" s="1466" t="s">
        <v>2127</v>
      </c>
      <c r="M2055" s="1467">
        <v>7.4689999999999999E-3</v>
      </c>
      <c r="N2055" s="1468">
        <v>1.6099181504432356</v>
      </c>
      <c r="O2055" s="1468"/>
    </row>
    <row r="2056" spans="11:15">
      <c r="K2056" s="1465">
        <v>44113</v>
      </c>
      <c r="L2056" s="1466" t="s">
        <v>2127</v>
      </c>
      <c r="M2056" s="1467">
        <v>7.4689999999999999E-3</v>
      </c>
      <c r="N2056" s="1468">
        <v>1.610038395229892</v>
      </c>
      <c r="O2056" s="1468"/>
    </row>
    <row r="2057" spans="11:15">
      <c r="K2057" s="1465">
        <v>44114</v>
      </c>
      <c r="L2057" s="1466"/>
      <c r="M2057" s="1467">
        <v>0</v>
      </c>
      <c r="N2057" s="1468">
        <v>1.610038395229892</v>
      </c>
      <c r="O2057" s="1468"/>
    </row>
    <row r="2058" spans="11:15">
      <c r="K2058" s="1465">
        <v>44115</v>
      </c>
      <c r="L2058" s="1466"/>
      <c r="M2058" s="1467">
        <v>0</v>
      </c>
      <c r="N2058" s="1468">
        <v>1.610038395229892</v>
      </c>
      <c r="O2058" s="1468"/>
    </row>
    <row r="2059" spans="11:15">
      <c r="K2059" s="1465">
        <v>44116</v>
      </c>
      <c r="L2059" s="1466"/>
      <c r="M2059" s="1467">
        <v>0</v>
      </c>
      <c r="N2059" s="1468">
        <v>1.610038395229892</v>
      </c>
      <c r="O2059" s="1468"/>
    </row>
    <row r="2060" spans="11:15">
      <c r="K2060" s="1465">
        <v>44117</v>
      </c>
      <c r="L2060" s="1466" t="s">
        <v>2127</v>
      </c>
      <c r="M2060" s="1467">
        <v>7.4689999999999999E-3</v>
      </c>
      <c r="N2060" s="1468">
        <v>1.6101586489976316</v>
      </c>
      <c r="O2060" s="1468"/>
    </row>
    <row r="2061" spans="11:15">
      <c r="K2061" s="1465">
        <v>44118</v>
      </c>
      <c r="L2061" s="1466" t="s">
        <v>2127</v>
      </c>
      <c r="M2061" s="1467">
        <v>7.4689999999999999E-3</v>
      </c>
      <c r="N2061" s="1468">
        <v>1.6102789117471252</v>
      </c>
      <c r="O2061" s="1468"/>
    </row>
    <row r="2062" spans="11:15">
      <c r="K2062" s="1465">
        <v>44119</v>
      </c>
      <c r="L2062" s="1466" t="s">
        <v>2127</v>
      </c>
      <c r="M2062" s="1467">
        <v>7.4689999999999999E-3</v>
      </c>
      <c r="N2062" s="1468">
        <v>1.6103991834790434</v>
      </c>
      <c r="O2062" s="1468"/>
    </row>
    <row r="2063" spans="11:15">
      <c r="K2063" s="1465">
        <v>44120</v>
      </c>
      <c r="L2063" s="1466" t="s">
        <v>2127</v>
      </c>
      <c r="M2063" s="1467">
        <v>7.4689999999999999E-3</v>
      </c>
      <c r="N2063" s="1468">
        <v>1.6105194641940574</v>
      </c>
      <c r="O2063" s="1468"/>
    </row>
    <row r="2064" spans="11:15">
      <c r="K2064" s="1465">
        <v>44121</v>
      </c>
      <c r="L2064" s="1466"/>
      <c r="M2064" s="1467">
        <v>0</v>
      </c>
      <c r="N2064" s="1468">
        <v>1.6105194641940574</v>
      </c>
      <c r="O2064" s="1468"/>
    </row>
    <row r="2065" spans="11:15">
      <c r="K2065" s="1465">
        <v>44122</v>
      </c>
      <c r="L2065" s="1466"/>
      <c r="M2065" s="1467">
        <v>0</v>
      </c>
      <c r="N2065" s="1468">
        <v>1.6105194641940574</v>
      </c>
      <c r="O2065" s="1468"/>
    </row>
    <row r="2066" spans="11:15">
      <c r="K2066" s="1465">
        <v>44123</v>
      </c>
      <c r="L2066" s="1466" t="s">
        <v>2127</v>
      </c>
      <c r="M2066" s="1467">
        <v>7.4689999999999999E-3</v>
      </c>
      <c r="N2066" s="1468">
        <v>1.6106397538928381</v>
      </c>
      <c r="O2066" s="1468"/>
    </row>
    <row r="2067" spans="11:15">
      <c r="K2067" s="1465">
        <v>44124</v>
      </c>
      <c r="L2067" s="1466" t="s">
        <v>2127</v>
      </c>
      <c r="M2067" s="1467">
        <v>7.4689999999999999E-3</v>
      </c>
      <c r="N2067" s="1468">
        <v>1.6107600525760561</v>
      </c>
      <c r="O2067" s="1468"/>
    </row>
    <row r="2068" spans="11:15">
      <c r="K2068" s="1465">
        <v>44125</v>
      </c>
      <c r="L2068" s="1466" t="s">
        <v>2127</v>
      </c>
      <c r="M2068" s="1467">
        <v>7.4689999999999999E-3</v>
      </c>
      <c r="N2068" s="1468">
        <v>1.6108803602443829</v>
      </c>
      <c r="O2068" s="1468"/>
    </row>
    <row r="2069" spans="11:15">
      <c r="K2069" s="1465">
        <v>44126</v>
      </c>
      <c r="L2069" s="1466" t="s">
        <v>2127</v>
      </c>
      <c r="M2069" s="1467">
        <v>7.4689999999999999E-3</v>
      </c>
      <c r="N2069" s="1468">
        <v>1.6110006768984895</v>
      </c>
      <c r="O2069" s="1468"/>
    </row>
    <row r="2070" spans="11:15">
      <c r="K2070" s="1465">
        <v>44127</v>
      </c>
      <c r="L2070" s="1466" t="s">
        <v>2127</v>
      </c>
      <c r="M2070" s="1467">
        <v>7.4689999999999999E-3</v>
      </c>
      <c r="N2070" s="1468">
        <v>1.611121002539047</v>
      </c>
      <c r="O2070" s="1468"/>
    </row>
    <row r="2071" spans="11:15">
      <c r="K2071" s="1465">
        <v>44128</v>
      </c>
      <c r="L2071" s="1466"/>
      <c r="M2071" s="1467">
        <v>0</v>
      </c>
      <c r="N2071" s="1468">
        <v>1.611121002539047</v>
      </c>
      <c r="O2071" s="1468"/>
    </row>
    <row r="2072" spans="11:15">
      <c r="K2072" s="1465">
        <v>44129</v>
      </c>
      <c r="L2072" s="1466"/>
      <c r="M2072" s="1467">
        <v>0</v>
      </c>
      <c r="N2072" s="1468">
        <v>1.611121002539047</v>
      </c>
      <c r="O2072" s="1468"/>
    </row>
    <row r="2073" spans="11:15">
      <c r="K2073" s="1465">
        <v>44130</v>
      </c>
      <c r="L2073" s="1466" t="s">
        <v>2127</v>
      </c>
      <c r="M2073" s="1467">
        <v>7.4689999999999999E-3</v>
      </c>
      <c r="N2073" s="1468">
        <v>1.6112413371667265</v>
      </c>
      <c r="O2073" s="1468"/>
    </row>
    <row r="2074" spans="11:15">
      <c r="K2074" s="1465">
        <v>44131</v>
      </c>
      <c r="L2074" s="1466" t="s">
        <v>2127</v>
      </c>
      <c r="M2074" s="1467">
        <v>7.4689999999999999E-3</v>
      </c>
      <c r="N2074" s="1468">
        <v>1.6113616807821993</v>
      </c>
      <c r="O2074" s="1468"/>
    </row>
    <row r="2075" spans="11:15">
      <c r="K2075" s="1465">
        <v>44132</v>
      </c>
      <c r="L2075" s="1466" t="s">
        <v>2127</v>
      </c>
      <c r="M2075" s="1467">
        <v>7.4689999999999999E-3</v>
      </c>
      <c r="N2075" s="1468">
        <v>1.6114820333861368</v>
      </c>
      <c r="O2075" s="1468"/>
    </row>
    <row r="2076" spans="11:15">
      <c r="K2076" s="1465">
        <v>44133</v>
      </c>
      <c r="L2076" s="1466" t="s">
        <v>2127</v>
      </c>
      <c r="M2076" s="1467">
        <v>7.4689999999999999E-3</v>
      </c>
      <c r="N2076" s="1468">
        <v>1.6116023949792104</v>
      </c>
      <c r="O2076" s="1468"/>
    </row>
    <row r="2077" spans="11:15">
      <c r="K2077" s="1465">
        <v>44134</v>
      </c>
      <c r="L2077" s="1466" t="s">
        <v>2127</v>
      </c>
      <c r="M2077" s="1467">
        <v>7.4689999999999999E-3</v>
      </c>
      <c r="N2077" s="1468">
        <v>1.6117227655620914</v>
      </c>
      <c r="O2077" s="1468"/>
    </row>
    <row r="2078" spans="11:15">
      <c r="K2078" s="1465">
        <v>44135</v>
      </c>
      <c r="L2078" s="1466"/>
      <c r="M2078" s="1467">
        <v>0</v>
      </c>
      <c r="N2078" s="1468">
        <v>1.6117227655620914</v>
      </c>
      <c r="O2078" s="1468"/>
    </row>
    <row r="2079" spans="11:15">
      <c r="K2079" s="1465">
        <v>44136</v>
      </c>
      <c r="L2079" s="1466"/>
      <c r="M2079" s="1467">
        <v>0</v>
      </c>
      <c r="N2079" s="1468">
        <v>1.6117227655620914</v>
      </c>
      <c r="O2079" s="1468"/>
    </row>
    <row r="2080" spans="11:15">
      <c r="K2080" s="1465">
        <v>44137</v>
      </c>
      <c r="L2080" s="1466"/>
      <c r="M2080" s="1467">
        <v>0</v>
      </c>
      <c r="N2080" s="1468">
        <v>1.6117227655620914</v>
      </c>
      <c r="O2080" s="1468"/>
    </row>
    <row r="2081" spans="11:15">
      <c r="K2081" s="1465">
        <v>44138</v>
      </c>
      <c r="L2081" s="1466" t="s">
        <v>2127</v>
      </c>
      <c r="M2081" s="1467">
        <v>7.4689999999999999E-3</v>
      </c>
      <c r="N2081" s="1468">
        <v>1.6118431451354511</v>
      </c>
      <c r="O2081" s="1468"/>
    </row>
    <row r="2082" spans="11:15">
      <c r="K2082" s="1465">
        <v>44139</v>
      </c>
      <c r="L2082" s="1466" t="s">
        <v>2127</v>
      </c>
      <c r="M2082" s="1467">
        <v>7.4689999999999999E-3</v>
      </c>
      <c r="N2082" s="1468">
        <v>1.6119635336999611</v>
      </c>
      <c r="O2082" s="1468"/>
    </row>
    <row r="2083" spans="11:15">
      <c r="K2083" s="1465">
        <v>44140</v>
      </c>
      <c r="L2083" s="1466" t="s">
        <v>2127</v>
      </c>
      <c r="M2083" s="1467">
        <v>7.4689999999999999E-3</v>
      </c>
      <c r="N2083" s="1468">
        <v>1.6120839312562931</v>
      </c>
      <c r="O2083" s="1468"/>
    </row>
    <row r="2084" spans="11:15">
      <c r="K2084" s="1465">
        <v>44141</v>
      </c>
      <c r="L2084" s="1466" t="s">
        <v>2127</v>
      </c>
      <c r="M2084" s="1467">
        <v>7.4689999999999999E-3</v>
      </c>
      <c r="N2084" s="1468">
        <v>1.6122043378051185</v>
      </c>
      <c r="O2084" s="1468"/>
    </row>
    <row r="2085" spans="11:15">
      <c r="K2085" s="1465">
        <v>44142</v>
      </c>
      <c r="L2085" s="1466"/>
      <c r="M2085" s="1467">
        <v>0</v>
      </c>
      <c r="N2085" s="1468">
        <v>1.6122043378051185</v>
      </c>
      <c r="O2085" s="1468"/>
    </row>
    <row r="2086" spans="11:15">
      <c r="K2086" s="1465">
        <v>44143</v>
      </c>
      <c r="L2086" s="1466"/>
      <c r="M2086" s="1467">
        <v>0</v>
      </c>
      <c r="N2086" s="1468">
        <v>1.6122043378051185</v>
      </c>
      <c r="O2086" s="1468"/>
    </row>
    <row r="2087" spans="11:15">
      <c r="K2087" s="1465">
        <v>44144</v>
      </c>
      <c r="L2087" s="1466" t="s">
        <v>2127</v>
      </c>
      <c r="M2087" s="1467">
        <v>7.4689999999999999E-3</v>
      </c>
      <c r="N2087" s="1468">
        <v>1.612324753347109</v>
      </c>
      <c r="O2087" s="1468"/>
    </row>
    <row r="2088" spans="11:15">
      <c r="K2088" s="1465">
        <v>44145</v>
      </c>
      <c r="L2088" s="1466" t="s">
        <v>2127</v>
      </c>
      <c r="M2088" s="1467">
        <v>7.4689999999999999E-3</v>
      </c>
      <c r="N2088" s="1468">
        <v>1.6124451778829363</v>
      </c>
      <c r="O2088" s="1468"/>
    </row>
    <row r="2089" spans="11:15">
      <c r="K2089" s="1465">
        <v>44146</v>
      </c>
      <c r="L2089" s="1466" t="s">
        <v>2127</v>
      </c>
      <c r="M2089" s="1467">
        <v>7.4689999999999999E-3</v>
      </c>
      <c r="N2089" s="1468">
        <v>1.6125656114132723</v>
      </c>
      <c r="O2089" s="1468"/>
    </row>
    <row r="2090" spans="11:15">
      <c r="K2090" s="1465">
        <v>44147</v>
      </c>
      <c r="L2090" s="1466" t="s">
        <v>2127</v>
      </c>
      <c r="M2090" s="1467">
        <v>7.4689999999999999E-3</v>
      </c>
      <c r="N2090" s="1468">
        <v>1.6126860539387886</v>
      </c>
      <c r="O2090" s="1468"/>
    </row>
    <row r="2091" spans="11:15">
      <c r="K2091" s="1465">
        <v>44148</v>
      </c>
      <c r="L2091" s="1466" t="s">
        <v>2127</v>
      </c>
      <c r="M2091" s="1467">
        <v>7.4689999999999999E-3</v>
      </c>
      <c r="N2091" s="1468">
        <v>1.6128065054601572</v>
      </c>
      <c r="O2091" s="1468"/>
    </row>
    <row r="2092" spans="11:15">
      <c r="K2092" s="1465">
        <v>44149</v>
      </c>
      <c r="L2092" s="1466"/>
      <c r="M2092" s="1467">
        <v>0</v>
      </c>
      <c r="N2092" s="1468">
        <v>1.6128065054601572</v>
      </c>
      <c r="O2092" s="1468"/>
    </row>
    <row r="2093" spans="11:15">
      <c r="K2093" s="1465">
        <v>44150</v>
      </c>
      <c r="L2093" s="1466"/>
      <c r="M2093" s="1467">
        <v>0</v>
      </c>
      <c r="N2093" s="1468">
        <v>1.6128065054601572</v>
      </c>
      <c r="O2093" s="1468"/>
    </row>
    <row r="2094" spans="11:15">
      <c r="K2094" s="1465">
        <v>44151</v>
      </c>
      <c r="L2094" s="1466" t="s">
        <v>2127</v>
      </c>
      <c r="M2094" s="1467">
        <v>7.4689999999999999E-3</v>
      </c>
      <c r="N2094" s="1468">
        <v>1.6129269659780499</v>
      </c>
      <c r="O2094" s="1468"/>
    </row>
    <row r="2095" spans="11:15">
      <c r="K2095" s="1465">
        <v>44152</v>
      </c>
      <c r="L2095" s="1466" t="s">
        <v>2127</v>
      </c>
      <c r="M2095" s="1467">
        <v>7.4689999999999999E-3</v>
      </c>
      <c r="N2095" s="1468">
        <v>1.6130474354931386</v>
      </c>
      <c r="O2095" s="1468"/>
    </row>
    <row r="2096" spans="11:15">
      <c r="K2096" s="1465">
        <v>44153</v>
      </c>
      <c r="L2096" s="1466" t="s">
        <v>2127</v>
      </c>
      <c r="M2096" s="1467">
        <v>7.4689999999999999E-3</v>
      </c>
      <c r="N2096" s="1468">
        <v>1.6131679140060955</v>
      </c>
      <c r="O2096" s="1468"/>
    </row>
    <row r="2097" spans="11:15">
      <c r="K2097" s="1465">
        <v>44154</v>
      </c>
      <c r="L2097" s="1466" t="s">
        <v>2127</v>
      </c>
      <c r="M2097" s="1467">
        <v>7.4689999999999999E-3</v>
      </c>
      <c r="N2097" s="1468">
        <v>1.6132884015175926</v>
      </c>
      <c r="O2097" s="1468"/>
    </row>
    <row r="2098" spans="11:15">
      <c r="K2098" s="1465">
        <v>44155</v>
      </c>
      <c r="L2098" s="1466" t="s">
        <v>2127</v>
      </c>
      <c r="M2098" s="1467">
        <v>7.4689999999999999E-3</v>
      </c>
      <c r="N2098" s="1468">
        <v>1.6134088980283019</v>
      </c>
      <c r="O2098" s="1468"/>
    </row>
    <row r="2099" spans="11:15">
      <c r="K2099" s="1465">
        <v>44156</v>
      </c>
      <c r="L2099" s="1466"/>
      <c r="M2099" s="1467">
        <v>0</v>
      </c>
      <c r="N2099" s="1468">
        <v>1.6134088980283019</v>
      </c>
      <c r="O2099" s="1468"/>
    </row>
    <row r="2100" spans="11:15">
      <c r="K2100" s="1465">
        <v>44157</v>
      </c>
      <c r="L2100" s="1466"/>
      <c r="M2100" s="1467">
        <v>0</v>
      </c>
      <c r="N2100" s="1468">
        <v>1.6134088980283019</v>
      </c>
      <c r="O2100" s="1468"/>
    </row>
    <row r="2101" spans="11:15">
      <c r="K2101" s="1465">
        <v>44158</v>
      </c>
      <c r="L2101" s="1466" t="s">
        <v>2127</v>
      </c>
      <c r="M2101" s="1467">
        <v>7.4689999999999999E-3</v>
      </c>
      <c r="N2101" s="1468">
        <v>1.6135294035388956</v>
      </c>
      <c r="O2101" s="1468"/>
    </row>
    <row r="2102" spans="11:15">
      <c r="K2102" s="1465">
        <v>44159</v>
      </c>
      <c r="L2102" s="1466" t="s">
        <v>2127</v>
      </c>
      <c r="M2102" s="1467">
        <v>7.4689999999999999E-3</v>
      </c>
      <c r="N2102" s="1468">
        <v>1.6136499180500459</v>
      </c>
      <c r="O2102" s="1468"/>
    </row>
    <row r="2103" spans="11:15">
      <c r="K2103" s="1465">
        <v>44160</v>
      </c>
      <c r="L2103" s="1466" t="s">
        <v>2127</v>
      </c>
      <c r="M2103" s="1467">
        <v>7.4689999999999999E-3</v>
      </c>
      <c r="N2103" s="1468">
        <v>1.613770441562425</v>
      </c>
      <c r="O2103" s="1468"/>
    </row>
    <row r="2104" spans="11:15">
      <c r="K2104" s="1465">
        <v>44161</v>
      </c>
      <c r="L2104" s="1466" t="s">
        <v>2127</v>
      </c>
      <c r="M2104" s="1467">
        <v>7.4689999999999999E-3</v>
      </c>
      <c r="N2104" s="1468">
        <v>1.6138909740767051</v>
      </c>
      <c r="O2104" s="1468"/>
    </row>
    <row r="2105" spans="11:15">
      <c r="K2105" s="1465">
        <v>44162</v>
      </c>
      <c r="L2105" s="1466" t="s">
        <v>2127</v>
      </c>
      <c r="M2105" s="1467">
        <v>7.4689999999999999E-3</v>
      </c>
      <c r="N2105" s="1468">
        <v>1.6140115155935588</v>
      </c>
      <c r="O2105" s="1468"/>
    </row>
    <row r="2106" spans="11:15">
      <c r="K2106" s="1465">
        <v>44163</v>
      </c>
      <c r="L2106" s="1466"/>
      <c r="M2106" s="1467">
        <v>0</v>
      </c>
      <c r="N2106" s="1468">
        <v>1.6140115155935588</v>
      </c>
      <c r="O2106" s="1468"/>
    </row>
    <row r="2107" spans="11:15">
      <c r="K2107" s="1465">
        <v>44164</v>
      </c>
      <c r="L2107" s="1466"/>
      <c r="M2107" s="1467">
        <v>0</v>
      </c>
      <c r="N2107" s="1468">
        <v>1.6140115155935588</v>
      </c>
      <c r="O2107" s="1468"/>
    </row>
    <row r="2108" spans="11:15">
      <c r="K2108" s="1465">
        <v>44165</v>
      </c>
      <c r="L2108" s="1466" t="s">
        <v>2127</v>
      </c>
      <c r="M2108" s="1467">
        <v>7.4689999999999999E-3</v>
      </c>
      <c r="N2108" s="1468">
        <v>1.6141320661136584</v>
      </c>
      <c r="O2108" s="1468"/>
    </row>
    <row r="2109" spans="11:15">
      <c r="K2109" s="1465">
        <v>44166</v>
      </c>
      <c r="L2109" s="1466" t="s">
        <v>2127</v>
      </c>
      <c r="M2109" s="1467">
        <v>7.4689999999999999E-3</v>
      </c>
      <c r="N2109" s="1468">
        <v>1.6142526256376764</v>
      </c>
      <c r="O2109" s="1468"/>
    </row>
    <row r="2110" spans="11:15">
      <c r="K2110" s="1465">
        <v>44167</v>
      </c>
      <c r="L2110" s="1466" t="s">
        <v>2127</v>
      </c>
      <c r="M2110" s="1467">
        <v>7.4689999999999999E-3</v>
      </c>
      <c r="N2110" s="1468">
        <v>1.6143731941662851</v>
      </c>
      <c r="O2110" s="1468"/>
    </row>
    <row r="2111" spans="11:15">
      <c r="K2111" s="1465">
        <v>44168</v>
      </c>
      <c r="L2111" s="1466" t="s">
        <v>2127</v>
      </c>
      <c r="M2111" s="1467">
        <v>7.4689999999999999E-3</v>
      </c>
      <c r="N2111" s="1468">
        <v>1.6144937717001573</v>
      </c>
      <c r="O2111" s="1468"/>
    </row>
    <row r="2112" spans="11:15">
      <c r="K2112" s="1465">
        <v>44169</v>
      </c>
      <c r="L2112" s="1466" t="s">
        <v>2127</v>
      </c>
      <c r="M2112" s="1467">
        <v>7.4689999999999999E-3</v>
      </c>
      <c r="N2112" s="1468">
        <v>1.6146143582399655</v>
      </c>
      <c r="O2112" s="1468"/>
    </row>
    <row r="2113" spans="11:15">
      <c r="K2113" s="1465">
        <v>44170</v>
      </c>
      <c r="L2113" s="1466"/>
      <c r="M2113" s="1467">
        <v>0</v>
      </c>
      <c r="N2113" s="1468">
        <v>1.6146143582399655</v>
      </c>
      <c r="O2113" s="1468"/>
    </row>
    <row r="2114" spans="11:15">
      <c r="K2114" s="1465">
        <v>44171</v>
      </c>
      <c r="L2114" s="1466"/>
      <c r="M2114" s="1467">
        <v>0</v>
      </c>
      <c r="N2114" s="1468">
        <v>1.6146143582399655</v>
      </c>
      <c r="O2114" s="1468"/>
    </row>
    <row r="2115" spans="11:15">
      <c r="K2115" s="1465">
        <v>44172</v>
      </c>
      <c r="L2115" s="1466" t="s">
        <v>2127</v>
      </c>
      <c r="M2115" s="1467">
        <v>7.4689999999999999E-3</v>
      </c>
      <c r="N2115" s="1468">
        <v>1.6147349537863822</v>
      </c>
      <c r="O2115" s="1468"/>
    </row>
    <row r="2116" spans="11:15">
      <c r="K2116" s="1465">
        <v>44173</v>
      </c>
      <c r="L2116" s="1466" t="s">
        <v>2127</v>
      </c>
      <c r="M2116" s="1467">
        <v>7.4689999999999999E-3</v>
      </c>
      <c r="N2116" s="1468">
        <v>1.6148555583400803</v>
      </c>
      <c r="O2116" s="1468"/>
    </row>
    <row r="2117" spans="11:15">
      <c r="K2117" s="1465">
        <v>44174</v>
      </c>
      <c r="L2117" s="1466" t="s">
        <v>2127</v>
      </c>
      <c r="M2117" s="1467">
        <v>7.4689999999999999E-3</v>
      </c>
      <c r="N2117" s="1468">
        <v>1.6149761719017326</v>
      </c>
      <c r="O2117" s="1468"/>
    </row>
    <row r="2118" spans="11:15">
      <c r="K2118" s="1465">
        <v>44175</v>
      </c>
      <c r="L2118" s="1466" t="s">
        <v>2127</v>
      </c>
      <c r="M2118" s="1467">
        <v>7.4689999999999999E-3</v>
      </c>
      <c r="N2118" s="1468">
        <v>1.6150967944720118</v>
      </c>
      <c r="O2118" s="1468"/>
    </row>
    <row r="2119" spans="11:15">
      <c r="K2119" s="1465">
        <v>44176</v>
      </c>
      <c r="L2119" s="1466" t="s">
        <v>2127</v>
      </c>
      <c r="M2119" s="1467">
        <v>7.4689999999999999E-3</v>
      </c>
      <c r="N2119" s="1468">
        <v>1.6152174260515908</v>
      </c>
      <c r="O2119" s="1468"/>
    </row>
    <row r="2120" spans="11:15">
      <c r="K2120" s="1465">
        <v>44177</v>
      </c>
      <c r="L2120" s="1466"/>
      <c r="M2120" s="1467">
        <v>0</v>
      </c>
      <c r="N2120" s="1468">
        <v>1.6152174260515908</v>
      </c>
      <c r="O2120" s="1468"/>
    </row>
    <row r="2121" spans="11:15">
      <c r="K2121" s="1465">
        <v>44178</v>
      </c>
      <c r="L2121" s="1466"/>
      <c r="M2121" s="1467">
        <v>0</v>
      </c>
      <c r="N2121" s="1468">
        <v>1.6152174260515908</v>
      </c>
      <c r="O2121" s="1468"/>
    </row>
    <row r="2122" spans="11:15">
      <c r="K2122" s="1465">
        <v>44179</v>
      </c>
      <c r="L2122" s="1466" t="s">
        <v>2127</v>
      </c>
      <c r="M2122" s="1467">
        <v>7.4689999999999999E-3</v>
      </c>
      <c r="N2122" s="1468">
        <v>1.6153380666411425</v>
      </c>
      <c r="O2122" s="1468"/>
    </row>
    <row r="2123" spans="11:15">
      <c r="K2123" s="1465">
        <v>44180</v>
      </c>
      <c r="L2123" s="1466" t="s">
        <v>2127</v>
      </c>
      <c r="M2123" s="1467">
        <v>7.4689999999999999E-3</v>
      </c>
      <c r="N2123" s="1468">
        <v>1.6154587162413399</v>
      </c>
      <c r="O2123" s="1468"/>
    </row>
    <row r="2124" spans="11:15">
      <c r="K2124" s="1465">
        <v>44181</v>
      </c>
      <c r="L2124" s="1466" t="s">
        <v>2127</v>
      </c>
      <c r="M2124" s="1467">
        <v>7.4689999999999999E-3</v>
      </c>
      <c r="N2124" s="1468">
        <v>1.6155793748528557</v>
      </c>
      <c r="O2124" s="1468"/>
    </row>
    <row r="2125" spans="11:15">
      <c r="K2125" s="1465">
        <v>44182</v>
      </c>
      <c r="L2125" s="1466" t="s">
        <v>2127</v>
      </c>
      <c r="M2125" s="1467">
        <v>7.4689999999999999E-3</v>
      </c>
      <c r="N2125" s="1468">
        <v>1.6157000424763635</v>
      </c>
      <c r="O2125" s="1468"/>
    </row>
    <row r="2126" spans="11:15">
      <c r="K2126" s="1465">
        <v>44183</v>
      </c>
      <c r="L2126" s="1466" t="s">
        <v>2127</v>
      </c>
      <c r="M2126" s="1467">
        <v>7.4689999999999999E-3</v>
      </c>
      <c r="N2126" s="1468">
        <v>1.615820719112536</v>
      </c>
      <c r="O2126" s="1468"/>
    </row>
    <row r="2127" spans="11:15">
      <c r="K2127" s="1465">
        <v>44184</v>
      </c>
      <c r="L2127" s="1466"/>
      <c r="M2127" s="1467">
        <v>0</v>
      </c>
      <c r="N2127" s="1468">
        <v>1.615820719112536</v>
      </c>
      <c r="O2127" s="1468"/>
    </row>
    <row r="2128" spans="11:15">
      <c r="K2128" s="1465">
        <v>44185</v>
      </c>
      <c r="L2128" s="1466"/>
      <c r="M2128" s="1467">
        <v>0</v>
      </c>
      <c r="N2128" s="1468">
        <v>1.615820719112536</v>
      </c>
      <c r="O2128" s="1468"/>
    </row>
    <row r="2129" spans="11:15">
      <c r="K2129" s="1465">
        <v>44186</v>
      </c>
      <c r="L2129" s="1466" t="s">
        <v>2127</v>
      </c>
      <c r="M2129" s="1467">
        <v>7.4689999999999999E-3</v>
      </c>
      <c r="N2129" s="1468">
        <v>1.6159414047620464</v>
      </c>
      <c r="O2129" s="1468"/>
    </row>
    <row r="2130" spans="11:15">
      <c r="K2130" s="1465">
        <v>44187</v>
      </c>
      <c r="L2130" s="1466" t="s">
        <v>2127</v>
      </c>
      <c r="M2130" s="1467">
        <v>7.4689999999999999E-3</v>
      </c>
      <c r="N2130" s="1468">
        <v>1.6160620994255679</v>
      </c>
      <c r="O2130" s="1468"/>
    </row>
    <row r="2131" spans="11:15">
      <c r="K2131" s="1465">
        <v>44188</v>
      </c>
      <c r="L2131" s="1466" t="s">
        <v>2127</v>
      </c>
      <c r="M2131" s="1467">
        <v>7.4689999999999999E-3</v>
      </c>
      <c r="N2131" s="1468">
        <v>1.6161828031037739</v>
      </c>
      <c r="O2131" s="1468"/>
    </row>
    <row r="2132" spans="11:15">
      <c r="K2132" s="1465">
        <v>44189</v>
      </c>
      <c r="L2132" s="1466" t="s">
        <v>2127</v>
      </c>
      <c r="M2132" s="1467">
        <v>7.4689999999999999E-3</v>
      </c>
      <c r="N2132" s="1468">
        <v>1.6163035157973376</v>
      </c>
      <c r="O2132" s="1468"/>
    </row>
    <row r="2133" spans="11:15">
      <c r="K2133" s="1465">
        <v>44190</v>
      </c>
      <c r="L2133" s="1466"/>
      <c r="M2133" s="1467">
        <v>0</v>
      </c>
      <c r="N2133" s="1468">
        <v>1.6163035157973376</v>
      </c>
      <c r="O2133" s="1468"/>
    </row>
    <row r="2134" spans="11:15">
      <c r="K2134" s="1465">
        <v>44191</v>
      </c>
      <c r="L2134" s="1466"/>
      <c r="M2134" s="1467">
        <v>0</v>
      </c>
      <c r="N2134" s="1468">
        <v>1.6163035157973376</v>
      </c>
      <c r="O2134" s="1468"/>
    </row>
    <row r="2135" spans="11:15">
      <c r="K2135" s="1465">
        <v>44192</v>
      </c>
      <c r="L2135" s="1466"/>
      <c r="M2135" s="1467">
        <v>0</v>
      </c>
      <c r="N2135" s="1468">
        <v>1.6163035157973376</v>
      </c>
      <c r="O2135" s="1468"/>
    </row>
    <row r="2136" spans="11:15">
      <c r="K2136" s="1465">
        <v>44193</v>
      </c>
      <c r="L2136" s="1466" t="s">
        <v>2127</v>
      </c>
      <c r="M2136" s="1467">
        <v>7.4689999999999999E-3</v>
      </c>
      <c r="N2136" s="1468">
        <v>1.6164242375069324</v>
      </c>
      <c r="O2136" s="1468"/>
    </row>
    <row r="2137" spans="11:15">
      <c r="K2137" s="1465">
        <v>44194</v>
      </c>
      <c r="L2137" s="1466" t="s">
        <v>2127</v>
      </c>
      <c r="M2137" s="1467">
        <v>7.4689999999999999E-3</v>
      </c>
      <c r="N2137" s="1468">
        <v>1.6165449682332318</v>
      </c>
      <c r="O2137" s="1468"/>
    </row>
    <row r="2138" spans="11:15">
      <c r="K2138" s="1465">
        <v>44195</v>
      </c>
      <c r="L2138" s="1466" t="s">
        <v>2127</v>
      </c>
      <c r="M2138" s="1467">
        <v>7.4689999999999999E-3</v>
      </c>
      <c r="N2138" s="1468">
        <v>1.6166657079769091</v>
      </c>
      <c r="O2138" s="1468"/>
    </row>
    <row r="2139" spans="11:15">
      <c r="K2139" s="1465">
        <v>44196</v>
      </c>
      <c r="L2139" s="1466" t="s">
        <v>2127</v>
      </c>
      <c r="M2139" s="1467">
        <v>7.4689999999999999E-3</v>
      </c>
      <c r="N2139" s="1468">
        <v>1.6167864567386379</v>
      </c>
      <c r="O2139" s="1468"/>
    </row>
    <row r="2140" spans="11:15">
      <c r="K2140" s="1465">
        <v>44197</v>
      </c>
      <c r="L2140" s="1466"/>
      <c r="M2140" s="1467">
        <v>0</v>
      </c>
      <c r="N2140" s="1468">
        <v>1.6167864567386379</v>
      </c>
      <c r="O2140" s="1468"/>
    </row>
    <row r="2141" spans="11:15">
      <c r="K2141" s="1465">
        <v>44198</v>
      </c>
      <c r="L2141" s="1466"/>
      <c r="M2141" s="1467">
        <v>0</v>
      </c>
      <c r="N2141" s="1468">
        <v>1.6167864567386379</v>
      </c>
      <c r="O2141" s="1468"/>
    </row>
    <row r="2142" spans="11:15">
      <c r="K2142" s="1465">
        <v>44199</v>
      </c>
      <c r="L2142" s="1466"/>
      <c r="M2142" s="1467">
        <v>0</v>
      </c>
      <c r="N2142" s="1468">
        <v>1.6167864567386379</v>
      </c>
      <c r="O2142" s="1468"/>
    </row>
    <row r="2143" spans="11:15">
      <c r="K2143" s="1465">
        <v>44200</v>
      </c>
      <c r="L2143" s="1466" t="s">
        <v>2127</v>
      </c>
      <c r="M2143" s="1467">
        <v>7.4689999999999999E-3</v>
      </c>
      <c r="N2143" s="1468">
        <v>1.6169072145190915</v>
      </c>
      <c r="O2143" s="1468"/>
    </row>
    <row r="2144" spans="11:15">
      <c r="K2144" s="1465">
        <v>44201</v>
      </c>
      <c r="L2144" s="1466" t="s">
        <v>2127</v>
      </c>
      <c r="M2144" s="1467">
        <v>7.4689999999999999E-3</v>
      </c>
      <c r="N2144" s="1468">
        <v>1.6170279813189439</v>
      </c>
      <c r="O2144" s="1468"/>
    </row>
    <row r="2145" spans="11:15">
      <c r="K2145" s="1465">
        <v>44202</v>
      </c>
      <c r="L2145" s="1466" t="s">
        <v>2127</v>
      </c>
      <c r="M2145" s="1467">
        <v>7.4689999999999999E-3</v>
      </c>
      <c r="N2145" s="1468">
        <v>1.6171487571388685</v>
      </c>
      <c r="O2145" s="1468"/>
    </row>
    <row r="2146" spans="11:15">
      <c r="K2146" s="1465">
        <v>44203</v>
      </c>
      <c r="L2146" s="1466" t="s">
        <v>2127</v>
      </c>
      <c r="M2146" s="1467">
        <v>7.4689999999999999E-3</v>
      </c>
      <c r="N2146" s="1468">
        <v>1.6172695419795391</v>
      </c>
      <c r="O2146" s="1468"/>
    </row>
    <row r="2147" spans="11:15">
      <c r="K2147" s="1465">
        <v>44204</v>
      </c>
      <c r="L2147" s="1466" t="s">
        <v>2127</v>
      </c>
      <c r="M2147" s="1467">
        <v>7.4689999999999999E-3</v>
      </c>
      <c r="N2147" s="1468">
        <v>1.6173903358416295</v>
      </c>
      <c r="O2147" s="1468"/>
    </row>
    <row r="2148" spans="11:15">
      <c r="K2148" s="1465">
        <v>44205</v>
      </c>
      <c r="L2148" s="1466"/>
      <c r="M2148" s="1467">
        <v>0</v>
      </c>
      <c r="N2148" s="1468">
        <v>1.6173903358416295</v>
      </c>
      <c r="O2148" s="1468"/>
    </row>
    <row r="2149" spans="11:15">
      <c r="K2149" s="1465">
        <v>44206</v>
      </c>
      <c r="L2149" s="1466"/>
      <c r="M2149" s="1467">
        <v>0</v>
      </c>
      <c r="N2149" s="1468">
        <v>1.6173903358416295</v>
      </c>
      <c r="O2149" s="1468"/>
    </row>
    <row r="2150" spans="11:15">
      <c r="K2150" s="1465">
        <v>44207</v>
      </c>
      <c r="L2150" s="1466" t="s">
        <v>2127</v>
      </c>
      <c r="M2150" s="1467">
        <v>7.4689999999999999E-3</v>
      </c>
      <c r="N2150" s="1468">
        <v>1.6175111387258134</v>
      </c>
      <c r="O2150" s="1468"/>
    </row>
    <row r="2151" spans="11:15">
      <c r="K2151" s="1465">
        <v>44208</v>
      </c>
      <c r="L2151" s="1466" t="s">
        <v>2127</v>
      </c>
      <c r="M2151" s="1467">
        <v>7.4689999999999999E-3</v>
      </c>
      <c r="N2151" s="1468">
        <v>1.6176319506327648</v>
      </c>
      <c r="O2151" s="1468"/>
    </row>
    <row r="2152" spans="11:15">
      <c r="K2152" s="1465">
        <v>44209</v>
      </c>
      <c r="L2152" s="1466" t="s">
        <v>2127</v>
      </c>
      <c r="M2152" s="1467">
        <v>7.4689999999999999E-3</v>
      </c>
      <c r="N2152" s="1468">
        <v>1.6177527715631574</v>
      </c>
      <c r="O2152" s="1468"/>
    </row>
    <row r="2153" spans="11:15">
      <c r="K2153" s="1465">
        <v>44210</v>
      </c>
      <c r="L2153" s="1466" t="s">
        <v>2127</v>
      </c>
      <c r="M2153" s="1467">
        <v>7.4689999999999999E-3</v>
      </c>
      <c r="N2153" s="1468">
        <v>1.6178736015176653</v>
      </c>
      <c r="O2153" s="1468"/>
    </row>
    <row r="2154" spans="11:15">
      <c r="K2154" s="1465">
        <v>44211</v>
      </c>
      <c r="L2154" s="1466" t="s">
        <v>2127</v>
      </c>
      <c r="M2154" s="1467">
        <v>7.4689999999999999E-3</v>
      </c>
      <c r="N2154" s="1468">
        <v>1.6179944404969626</v>
      </c>
      <c r="O2154" s="1468"/>
    </row>
    <row r="2155" spans="11:15">
      <c r="K2155" s="1465">
        <v>44212</v>
      </c>
      <c r="L2155" s="1466"/>
      <c r="M2155" s="1467">
        <v>0</v>
      </c>
      <c r="N2155" s="1468">
        <v>1.6179944404969626</v>
      </c>
      <c r="O2155" s="1468"/>
    </row>
    <row r="2156" spans="11:15">
      <c r="K2156" s="1465">
        <v>44213</v>
      </c>
      <c r="L2156" s="1466"/>
      <c r="M2156" s="1467">
        <v>0</v>
      </c>
      <c r="N2156" s="1468">
        <v>1.6179944404969626</v>
      </c>
      <c r="O2156" s="1468"/>
    </row>
    <row r="2157" spans="11:15">
      <c r="K2157" s="1465">
        <v>44214</v>
      </c>
      <c r="L2157" s="1466" t="s">
        <v>2127</v>
      </c>
      <c r="M2157" s="1467">
        <v>7.4689999999999999E-3</v>
      </c>
      <c r="N2157" s="1468">
        <v>1.6181152885017231</v>
      </c>
      <c r="O2157" s="1468"/>
    </row>
    <row r="2158" spans="11:15">
      <c r="K2158" s="1465">
        <v>44215</v>
      </c>
      <c r="L2158" s="1466" t="s">
        <v>2127</v>
      </c>
      <c r="M2158" s="1467">
        <v>7.4689999999999999E-3</v>
      </c>
      <c r="N2158" s="1468">
        <v>1.6182361455326213</v>
      </c>
      <c r="O2158" s="1468"/>
    </row>
    <row r="2159" spans="11:15">
      <c r="K2159" s="1465">
        <v>44216</v>
      </c>
      <c r="L2159" s="1466" t="s">
        <v>2127</v>
      </c>
      <c r="M2159" s="1467">
        <v>7.4689999999999999E-3</v>
      </c>
      <c r="N2159" s="1468">
        <v>1.618357011590331</v>
      </c>
      <c r="O2159" s="1468"/>
    </row>
    <row r="2160" spans="11:15">
      <c r="K2160" s="1465">
        <v>44217</v>
      </c>
      <c r="L2160" s="1466" t="s">
        <v>2127</v>
      </c>
      <c r="M2160" s="1467">
        <v>7.4689999999999999E-3</v>
      </c>
      <c r="N2160" s="1468">
        <v>1.6184778866755265</v>
      </c>
      <c r="O2160" s="1468"/>
    </row>
    <row r="2161" spans="11:15">
      <c r="K2161" s="1465">
        <v>44218</v>
      </c>
      <c r="L2161" s="1466" t="s">
        <v>2127</v>
      </c>
      <c r="M2161" s="1467">
        <v>7.4689999999999999E-3</v>
      </c>
      <c r="N2161" s="1468">
        <v>1.6185987707888823</v>
      </c>
      <c r="O2161" s="1468"/>
    </row>
    <row r="2162" spans="11:15">
      <c r="K2162" s="1465">
        <v>44219</v>
      </c>
      <c r="L2162" s="1466"/>
      <c r="M2162" s="1467">
        <v>0</v>
      </c>
      <c r="N2162" s="1468">
        <v>1.6185987707888823</v>
      </c>
      <c r="O2162" s="1468"/>
    </row>
    <row r="2163" spans="11:15">
      <c r="K2163" s="1465">
        <v>44220</v>
      </c>
      <c r="L2163" s="1466"/>
      <c r="M2163" s="1467">
        <v>0</v>
      </c>
      <c r="N2163" s="1468">
        <v>1.6185987707888823</v>
      </c>
      <c r="O2163" s="1468"/>
    </row>
    <row r="2164" spans="11:15">
      <c r="K2164" s="1465">
        <v>44221</v>
      </c>
      <c r="L2164" s="1466" t="s">
        <v>2127</v>
      </c>
      <c r="M2164" s="1467">
        <v>7.4689999999999999E-3</v>
      </c>
      <c r="N2164" s="1468">
        <v>1.6187196639310724</v>
      </c>
      <c r="O2164" s="1468"/>
    </row>
    <row r="2165" spans="11:15">
      <c r="K2165" s="1465">
        <v>44222</v>
      </c>
      <c r="L2165" s="1466" t="s">
        <v>2127</v>
      </c>
      <c r="M2165" s="1467">
        <v>7.4689999999999999E-3</v>
      </c>
      <c r="N2165" s="1468">
        <v>1.6188405661027712</v>
      </c>
      <c r="O2165" s="1468"/>
    </row>
    <row r="2166" spans="11:15">
      <c r="K2166" s="1465">
        <v>44223</v>
      </c>
      <c r="L2166" s="1466" t="s">
        <v>2127</v>
      </c>
      <c r="M2166" s="1467">
        <v>7.4689999999999999E-3</v>
      </c>
      <c r="N2166" s="1468">
        <v>1.6189614773046532</v>
      </c>
      <c r="O2166" s="1468"/>
    </row>
    <row r="2167" spans="11:15">
      <c r="K2167" s="1465">
        <v>44224</v>
      </c>
      <c r="L2167" s="1466" t="s">
        <v>2127</v>
      </c>
      <c r="M2167" s="1467">
        <v>7.4689999999999999E-3</v>
      </c>
      <c r="N2167" s="1468">
        <v>1.6190823975373929</v>
      </c>
      <c r="O2167" s="1468"/>
    </row>
    <row r="2168" spans="11:15">
      <c r="K2168" s="1465">
        <v>44225</v>
      </c>
      <c r="L2168" s="1466" t="s">
        <v>2127</v>
      </c>
      <c r="M2168" s="1467">
        <v>7.4689999999999999E-3</v>
      </c>
      <c r="N2168" s="1468">
        <v>1.6192033268016648</v>
      </c>
      <c r="O2168" s="1468"/>
    </row>
    <row r="2169" spans="11:15">
      <c r="K2169" s="1465">
        <v>44226</v>
      </c>
      <c r="L2169" s="1466"/>
      <c r="M2169" s="1467">
        <v>0</v>
      </c>
      <c r="N2169" s="1468">
        <v>1.6192033268016648</v>
      </c>
      <c r="O2169" s="1468"/>
    </row>
    <row r="2170" spans="11:15">
      <c r="K2170" s="1465">
        <v>44227</v>
      </c>
      <c r="L2170" s="1466"/>
      <c r="M2170" s="1467">
        <v>0</v>
      </c>
      <c r="N2170" s="1468">
        <v>1.6192033268016648</v>
      </c>
      <c r="O2170" s="1468"/>
    </row>
    <row r="2171" spans="11:15">
      <c r="K2171" s="1465">
        <v>44228</v>
      </c>
      <c r="L2171" s="1466" t="s">
        <v>2127</v>
      </c>
      <c r="M2171" s="1467">
        <v>7.4689999999999999E-3</v>
      </c>
      <c r="N2171" s="1468">
        <v>1.6193242650981434</v>
      </c>
      <c r="O2171" s="1468"/>
    </row>
    <row r="2172" spans="11:15">
      <c r="K2172" s="1465">
        <v>44229</v>
      </c>
      <c r="L2172" s="1466" t="s">
        <v>2127</v>
      </c>
      <c r="M2172" s="1467">
        <v>7.4689999999999999E-3</v>
      </c>
      <c r="N2172" s="1468">
        <v>1.6194452124275034</v>
      </c>
      <c r="O2172" s="1468"/>
    </row>
    <row r="2173" spans="11:15">
      <c r="K2173" s="1465">
        <v>44230</v>
      </c>
      <c r="L2173" s="1466" t="s">
        <v>2127</v>
      </c>
      <c r="M2173" s="1467">
        <v>7.4689999999999999E-3</v>
      </c>
      <c r="N2173" s="1468">
        <v>1.6195661687904195</v>
      </c>
      <c r="O2173" s="1468"/>
    </row>
    <row r="2174" spans="11:15">
      <c r="K2174" s="1465">
        <v>44231</v>
      </c>
      <c r="L2174" s="1466" t="s">
        <v>2127</v>
      </c>
      <c r="M2174" s="1467">
        <v>7.4689999999999999E-3</v>
      </c>
      <c r="N2174" s="1468">
        <v>1.6196871341875663</v>
      </c>
      <c r="O2174" s="1468"/>
    </row>
    <row r="2175" spans="11:15">
      <c r="K2175" s="1465">
        <v>44232</v>
      </c>
      <c r="L2175" s="1466" t="s">
        <v>2127</v>
      </c>
      <c r="M2175" s="1467">
        <v>7.4689999999999999E-3</v>
      </c>
      <c r="N2175" s="1468">
        <v>1.6198081086196185</v>
      </c>
      <c r="O2175" s="1468"/>
    </row>
    <row r="2176" spans="11:15">
      <c r="K2176" s="1465">
        <v>44233</v>
      </c>
      <c r="L2176" s="1466"/>
      <c r="M2176" s="1467">
        <v>0</v>
      </c>
      <c r="N2176" s="1468">
        <v>1.6198081086196185</v>
      </c>
      <c r="O2176" s="1468"/>
    </row>
    <row r="2177" spans="11:15">
      <c r="K2177" s="1465">
        <v>44234</v>
      </c>
      <c r="L2177" s="1466"/>
      <c r="M2177" s="1467">
        <v>0</v>
      </c>
      <c r="N2177" s="1468">
        <v>1.6198081086196185</v>
      </c>
      <c r="O2177" s="1468"/>
    </row>
    <row r="2178" spans="11:15">
      <c r="K2178" s="1465">
        <v>44235</v>
      </c>
      <c r="L2178" s="1466" t="s">
        <v>2127</v>
      </c>
      <c r="M2178" s="1467">
        <v>7.4689999999999999E-3</v>
      </c>
      <c r="N2178" s="1468">
        <v>1.6199290920872513</v>
      </c>
      <c r="O2178" s="1468"/>
    </row>
    <row r="2179" spans="11:15">
      <c r="K2179" s="1465">
        <v>44236</v>
      </c>
      <c r="L2179" s="1466" t="s">
        <v>2127</v>
      </c>
      <c r="M2179" s="1467">
        <v>7.4689999999999999E-3</v>
      </c>
      <c r="N2179" s="1468">
        <v>1.6200500845911392</v>
      </c>
      <c r="O2179" s="1468"/>
    </row>
    <row r="2180" spans="11:15">
      <c r="K2180" s="1465">
        <v>44237</v>
      </c>
      <c r="L2180" s="1466" t="s">
        <v>2127</v>
      </c>
      <c r="M2180" s="1467">
        <v>7.4689999999999999E-3</v>
      </c>
      <c r="N2180" s="1468">
        <v>1.6201710861319571</v>
      </c>
      <c r="O2180" s="1468"/>
    </row>
    <row r="2181" spans="11:15">
      <c r="K2181" s="1465">
        <v>44238</v>
      </c>
      <c r="L2181" s="1466" t="s">
        <v>2127</v>
      </c>
      <c r="M2181" s="1467">
        <v>7.4689999999999999E-3</v>
      </c>
      <c r="N2181" s="1468">
        <v>1.6202920967103802</v>
      </c>
      <c r="O2181" s="1468"/>
    </row>
    <row r="2182" spans="11:15">
      <c r="K2182" s="1465">
        <v>44239</v>
      </c>
      <c r="L2182" s="1466" t="s">
        <v>2127</v>
      </c>
      <c r="M2182" s="1467">
        <v>7.4689999999999999E-3</v>
      </c>
      <c r="N2182" s="1468">
        <v>1.6204131163270834</v>
      </c>
      <c r="O2182" s="1468"/>
    </row>
    <row r="2183" spans="11:15">
      <c r="K2183" s="1465">
        <v>44240</v>
      </c>
      <c r="L2183" s="1466"/>
      <c r="M2183" s="1467">
        <v>0</v>
      </c>
      <c r="N2183" s="1468">
        <v>1.6204131163270834</v>
      </c>
      <c r="O2183" s="1468"/>
    </row>
    <row r="2184" spans="11:15">
      <c r="K2184" s="1465">
        <v>44241</v>
      </c>
      <c r="L2184" s="1466"/>
      <c r="M2184" s="1467">
        <v>0</v>
      </c>
      <c r="N2184" s="1468">
        <v>1.6204131163270834</v>
      </c>
      <c r="O2184" s="1468"/>
    </row>
    <row r="2185" spans="11:15">
      <c r="K2185" s="1465">
        <v>44242</v>
      </c>
      <c r="L2185" s="1466"/>
      <c r="M2185" s="1467">
        <v>0</v>
      </c>
      <c r="N2185" s="1468">
        <v>1.6204131163270834</v>
      </c>
      <c r="O2185" s="1468"/>
    </row>
    <row r="2186" spans="11:15">
      <c r="K2186" s="1465">
        <v>44243</v>
      </c>
      <c r="L2186" s="1466"/>
      <c r="M2186" s="1467">
        <v>0</v>
      </c>
      <c r="N2186" s="1468">
        <v>1.6204131163270834</v>
      </c>
      <c r="O2186" s="1468"/>
    </row>
    <row r="2187" spans="11:15">
      <c r="K2187" s="1465">
        <v>44244</v>
      </c>
      <c r="L2187" s="1466" t="s">
        <v>2127</v>
      </c>
      <c r="M2187" s="1467">
        <v>7.4689999999999999E-3</v>
      </c>
      <c r="N2187" s="1468">
        <v>1.6205341449827417</v>
      </c>
      <c r="O2187" s="1468"/>
    </row>
    <row r="2188" spans="11:15">
      <c r="K2188" s="1465">
        <v>44245</v>
      </c>
      <c r="L2188" s="1466" t="s">
        <v>2127</v>
      </c>
      <c r="M2188" s="1467">
        <v>7.4689999999999999E-3</v>
      </c>
      <c r="N2188" s="1468">
        <v>1.6206551826780304</v>
      </c>
      <c r="O2188" s="1468"/>
    </row>
    <row r="2189" spans="11:15">
      <c r="K2189" s="1465">
        <v>44246</v>
      </c>
      <c r="L2189" s="1466" t="s">
        <v>2127</v>
      </c>
      <c r="M2189" s="1467">
        <v>7.4689999999999999E-3</v>
      </c>
      <c r="N2189" s="1468">
        <v>1.6207762294136245</v>
      </c>
      <c r="O2189" s="1468"/>
    </row>
    <row r="2190" spans="11:15">
      <c r="K2190" s="1465">
        <v>44247</v>
      </c>
      <c r="L2190" s="1466"/>
      <c r="M2190" s="1467">
        <v>0</v>
      </c>
      <c r="N2190" s="1468">
        <v>1.6207762294136245</v>
      </c>
      <c r="O2190" s="1468"/>
    </row>
    <row r="2191" spans="11:15">
      <c r="K2191" s="1465">
        <v>44248</v>
      </c>
      <c r="L2191" s="1466"/>
      <c r="M2191" s="1467">
        <v>0</v>
      </c>
      <c r="N2191" s="1468">
        <v>1.6207762294136245</v>
      </c>
      <c r="O2191" s="1468"/>
    </row>
    <row r="2192" spans="11:15">
      <c r="K2192" s="1465">
        <v>44249</v>
      </c>
      <c r="L2192" s="1466" t="s">
        <v>2127</v>
      </c>
      <c r="M2192" s="1467">
        <v>7.4689999999999999E-3</v>
      </c>
      <c r="N2192" s="1468">
        <v>1.6208972851901993</v>
      </c>
      <c r="O2192" s="1468"/>
    </row>
    <row r="2193" spans="11:15">
      <c r="K2193" s="1465">
        <v>44250</v>
      </c>
      <c r="L2193" s="1466" t="s">
        <v>2127</v>
      </c>
      <c r="M2193" s="1467">
        <v>7.4689999999999999E-3</v>
      </c>
      <c r="N2193" s="1468">
        <v>1.6210183500084301</v>
      </c>
      <c r="O2193" s="1468"/>
    </row>
    <row r="2194" spans="11:15">
      <c r="K2194" s="1465">
        <v>44251</v>
      </c>
      <c r="L2194" s="1466" t="s">
        <v>2127</v>
      </c>
      <c r="M2194" s="1467">
        <v>7.4689999999999999E-3</v>
      </c>
      <c r="N2194" s="1468">
        <v>1.621139423868992</v>
      </c>
      <c r="O2194" s="1468"/>
    </row>
    <row r="2195" spans="11:15">
      <c r="K2195" s="1465">
        <v>44252</v>
      </c>
      <c r="L2195" s="1466" t="s">
        <v>2127</v>
      </c>
      <c r="M2195" s="1467">
        <v>7.4689999999999999E-3</v>
      </c>
      <c r="N2195" s="1468">
        <v>1.6212605067725607</v>
      </c>
      <c r="O2195" s="1468"/>
    </row>
    <row r="2196" spans="11:15">
      <c r="K2196" s="1465">
        <v>44253</v>
      </c>
      <c r="L2196" s="1466" t="s">
        <v>2127</v>
      </c>
      <c r="M2196" s="1467">
        <v>7.4689999999999999E-3</v>
      </c>
      <c r="N2196" s="1468">
        <v>1.6213815987198115</v>
      </c>
      <c r="O2196" s="1468"/>
    </row>
    <row r="2197" spans="11:15">
      <c r="K2197" s="1465">
        <v>44254</v>
      </c>
      <c r="L2197" s="1466"/>
      <c r="M2197" s="1467">
        <v>0</v>
      </c>
      <c r="N2197" s="1468">
        <v>1.6213815987198115</v>
      </c>
      <c r="O2197" s="1468"/>
    </row>
    <row r="2198" spans="11:15">
      <c r="K2198" s="1465">
        <v>44255</v>
      </c>
      <c r="L2198" s="1466"/>
      <c r="M2198" s="1467">
        <v>0</v>
      </c>
      <c r="N2198" s="1468">
        <v>1.6213815987198115</v>
      </c>
      <c r="O2198" s="1468"/>
    </row>
    <row r="2199" spans="11:15">
      <c r="K2199" s="1465">
        <v>44256</v>
      </c>
      <c r="L2199" s="1466" t="s">
        <v>2127</v>
      </c>
      <c r="M2199" s="1467">
        <v>7.4689999999999999E-3</v>
      </c>
      <c r="N2199" s="1468">
        <v>1.6215026997114197</v>
      </c>
      <c r="O2199" s="1468"/>
    </row>
    <row r="2200" spans="11:15">
      <c r="K2200" s="1465">
        <v>44257</v>
      </c>
      <c r="L2200" s="1466" t="s">
        <v>2127</v>
      </c>
      <c r="M2200" s="1467">
        <v>7.4689999999999999E-3</v>
      </c>
      <c r="N2200" s="1468">
        <v>1.6216238097480611</v>
      </c>
      <c r="O2200" s="1468"/>
    </row>
    <row r="2201" spans="11:15">
      <c r="K2201" s="1465">
        <v>44258</v>
      </c>
      <c r="L2201" s="1466" t="s">
        <v>2127</v>
      </c>
      <c r="M2201" s="1467">
        <v>7.4689999999999999E-3</v>
      </c>
      <c r="N2201" s="1468">
        <v>1.6217449288304111</v>
      </c>
      <c r="O2201" s="1468"/>
    </row>
    <row r="2202" spans="11:15">
      <c r="K2202" s="1465">
        <v>44259</v>
      </c>
      <c r="L2202" s="1466" t="s">
        <v>2127</v>
      </c>
      <c r="M2202" s="1467">
        <v>7.4689999999999999E-3</v>
      </c>
      <c r="N2202" s="1468">
        <v>1.6218660569591454</v>
      </c>
      <c r="O2202" s="1468"/>
    </row>
    <row r="2203" spans="11:15">
      <c r="K2203" s="1465">
        <v>44260</v>
      </c>
      <c r="L2203" s="1466" t="s">
        <v>2127</v>
      </c>
      <c r="M2203" s="1467">
        <v>7.4689999999999999E-3</v>
      </c>
      <c r="N2203" s="1468">
        <v>1.6219871941349395</v>
      </c>
      <c r="O2203" s="1468"/>
    </row>
    <row r="2204" spans="11:15">
      <c r="K2204" s="1465">
        <v>44261</v>
      </c>
      <c r="L2204" s="1466"/>
      <c r="M2204" s="1467">
        <v>0</v>
      </c>
      <c r="N2204" s="1468">
        <v>1.6219871941349395</v>
      </c>
      <c r="O2204" s="1468"/>
    </row>
    <row r="2205" spans="11:15">
      <c r="K2205" s="1465">
        <v>44262</v>
      </c>
      <c r="L2205" s="1466"/>
      <c r="M2205" s="1467">
        <v>0</v>
      </c>
      <c r="N2205" s="1468">
        <v>1.6219871941349395</v>
      </c>
      <c r="O2205" s="1468"/>
    </row>
    <row r="2206" spans="11:15">
      <c r="K2206" s="1465">
        <v>44263</v>
      </c>
      <c r="L2206" s="1466" t="s">
        <v>2127</v>
      </c>
      <c r="M2206" s="1467">
        <v>7.4689999999999999E-3</v>
      </c>
      <c r="N2206" s="1468">
        <v>1.6221083403584693</v>
      </c>
      <c r="O2206" s="1468"/>
    </row>
    <row r="2207" spans="11:15">
      <c r="K2207" s="1465">
        <v>44264</v>
      </c>
      <c r="L2207" s="1466" t="s">
        <v>2127</v>
      </c>
      <c r="M2207" s="1467">
        <v>7.4689999999999999E-3</v>
      </c>
      <c r="N2207" s="1468">
        <v>1.6222294956304106</v>
      </c>
      <c r="O2207" s="1468"/>
    </row>
    <row r="2208" spans="11:15">
      <c r="K2208" s="1465">
        <v>44265</v>
      </c>
      <c r="L2208" s="1466" t="s">
        <v>2127</v>
      </c>
      <c r="M2208" s="1467">
        <v>7.4689999999999999E-3</v>
      </c>
      <c r="N2208" s="1468">
        <v>1.6223506599514392</v>
      </c>
      <c r="O2208" s="1468"/>
    </row>
    <row r="2209" spans="11:15">
      <c r="K2209" s="1465">
        <v>44266</v>
      </c>
      <c r="L2209" s="1466" t="s">
        <v>2127</v>
      </c>
      <c r="M2209" s="1467">
        <v>7.4689999999999999E-3</v>
      </c>
      <c r="N2209" s="1468">
        <v>1.622471833322231</v>
      </c>
      <c r="O2209" s="1468"/>
    </row>
    <row r="2210" spans="11:15">
      <c r="K2210" s="1465">
        <v>44267</v>
      </c>
      <c r="L2210" s="1466" t="s">
        <v>2127</v>
      </c>
      <c r="M2210" s="1467">
        <v>7.4689999999999999E-3</v>
      </c>
      <c r="N2210" s="1468">
        <v>1.6225930157434618</v>
      </c>
      <c r="O2210" s="1468"/>
    </row>
    <row r="2211" spans="11:15">
      <c r="K2211" s="1465">
        <v>44268</v>
      </c>
      <c r="L2211" s="1466"/>
      <c r="M2211" s="1467">
        <v>0</v>
      </c>
      <c r="N2211" s="1468">
        <v>1.6225930157434618</v>
      </c>
      <c r="O2211" s="1468"/>
    </row>
    <row r="2212" spans="11:15">
      <c r="K2212" s="1465">
        <v>44269</v>
      </c>
      <c r="L2212" s="1466"/>
      <c r="M2212" s="1467">
        <v>0</v>
      </c>
      <c r="N2212" s="1468">
        <v>1.6225930157434618</v>
      </c>
      <c r="O2212" s="1468"/>
    </row>
    <row r="2213" spans="11:15">
      <c r="K2213" s="1465">
        <v>44270</v>
      </c>
      <c r="L2213" s="1466" t="s">
        <v>2127</v>
      </c>
      <c r="M2213" s="1467">
        <v>7.4689999999999999E-3</v>
      </c>
      <c r="N2213" s="1468">
        <v>1.6227142072158076</v>
      </c>
      <c r="O2213" s="1468"/>
    </row>
    <row r="2214" spans="11:15">
      <c r="K2214" s="1465">
        <v>44271</v>
      </c>
      <c r="L2214" s="1466" t="s">
        <v>2127</v>
      </c>
      <c r="M2214" s="1467">
        <v>7.4689999999999999E-3</v>
      </c>
      <c r="N2214" s="1468">
        <v>1.6228354077399445</v>
      </c>
      <c r="O2214" s="1468"/>
    </row>
    <row r="2215" spans="11:15">
      <c r="K2215" s="1465">
        <v>44272</v>
      </c>
      <c r="L2215" s="1466" t="s">
        <v>2127</v>
      </c>
      <c r="M2215" s="1467">
        <v>7.4689999999999999E-3</v>
      </c>
      <c r="N2215" s="1468">
        <v>1.6229566173165484</v>
      </c>
      <c r="O2215" s="1468"/>
    </row>
    <row r="2216" spans="11:15">
      <c r="K2216" s="1465">
        <v>44273</v>
      </c>
      <c r="L2216" s="1466" t="s">
        <v>2127</v>
      </c>
      <c r="M2216" s="1467">
        <v>1.0378999999999999E-2</v>
      </c>
      <c r="N2216" s="1468">
        <v>1.6231250639838597</v>
      </c>
      <c r="O2216" s="1468"/>
    </row>
    <row r="2217" spans="11:15">
      <c r="K2217" s="1465">
        <v>44274</v>
      </c>
      <c r="L2217" s="1466" t="s">
        <v>2127</v>
      </c>
      <c r="M2217" s="1467">
        <v>1.0378999999999999E-2</v>
      </c>
      <c r="N2217" s="1468">
        <v>1.6232935281342507</v>
      </c>
      <c r="O2217" s="1468"/>
    </row>
    <row r="2218" spans="11:15">
      <c r="K2218" s="1465">
        <v>44275</v>
      </c>
      <c r="L2218" s="1466"/>
      <c r="M2218" s="1467">
        <v>0</v>
      </c>
      <c r="N2218" s="1468">
        <v>1.6232935281342507</v>
      </c>
      <c r="O2218" s="1468"/>
    </row>
    <row r="2219" spans="11:15">
      <c r="K2219" s="1465">
        <v>44276</v>
      </c>
      <c r="L2219" s="1466"/>
      <c r="M2219" s="1467">
        <v>0</v>
      </c>
      <c r="N2219" s="1468">
        <v>1.6232935281342507</v>
      </c>
      <c r="O2219" s="1468"/>
    </row>
    <row r="2220" spans="11:15">
      <c r="K2220" s="1465">
        <v>44277</v>
      </c>
      <c r="L2220" s="1466" t="s">
        <v>2127</v>
      </c>
      <c r="M2220" s="1467">
        <v>1.0378999999999999E-2</v>
      </c>
      <c r="N2220" s="1468">
        <v>1.6234620097695358</v>
      </c>
      <c r="O2220" s="1468"/>
    </row>
    <row r="2221" spans="11:15">
      <c r="K2221" s="1465">
        <v>44278</v>
      </c>
      <c r="L2221" s="1466" t="s">
        <v>2127</v>
      </c>
      <c r="M2221" s="1467">
        <v>1.0378999999999999E-2</v>
      </c>
      <c r="N2221" s="1468">
        <v>1.6236305088915299</v>
      </c>
      <c r="O2221" s="1468"/>
    </row>
    <row r="2222" spans="11:15">
      <c r="K2222" s="1465">
        <v>44279</v>
      </c>
      <c r="L2222" s="1466" t="s">
        <v>2127</v>
      </c>
      <c r="M2222" s="1467">
        <v>1.0378999999999999E-2</v>
      </c>
      <c r="N2222" s="1468">
        <v>1.6237990255020478</v>
      </c>
      <c r="O2222" s="1468"/>
    </row>
    <row r="2223" spans="11:15">
      <c r="K2223" s="1465">
        <v>44280</v>
      </c>
      <c r="L2223" s="1466" t="s">
        <v>2127</v>
      </c>
      <c r="M2223" s="1467">
        <v>1.0378999999999999E-2</v>
      </c>
      <c r="N2223" s="1468">
        <v>1.6239675596029048</v>
      </c>
      <c r="O2223" s="1468"/>
    </row>
    <row r="2224" spans="11:15">
      <c r="K2224" s="1465">
        <v>44281</v>
      </c>
      <c r="L2224" s="1466" t="s">
        <v>2127</v>
      </c>
      <c r="M2224" s="1467">
        <v>1.0378999999999999E-2</v>
      </c>
      <c r="N2224" s="1468">
        <v>1.6241361111959161</v>
      </c>
      <c r="O2224" s="1468"/>
    </row>
    <row r="2225" spans="11:15">
      <c r="K2225" s="1465">
        <v>44282</v>
      </c>
      <c r="L2225" s="1466"/>
      <c r="M2225" s="1467">
        <v>0</v>
      </c>
      <c r="N2225" s="1468">
        <v>1.6241361111959161</v>
      </c>
      <c r="O2225" s="1468"/>
    </row>
    <row r="2226" spans="11:15">
      <c r="K2226" s="1465">
        <v>44283</v>
      </c>
      <c r="L2226" s="1466"/>
      <c r="M2226" s="1467">
        <v>0</v>
      </c>
      <c r="N2226" s="1468">
        <v>1.6241361111959161</v>
      </c>
      <c r="O2226" s="1468"/>
    </row>
    <row r="2227" spans="11:15">
      <c r="K2227" s="1465">
        <v>44284</v>
      </c>
      <c r="L2227" s="1466" t="s">
        <v>2127</v>
      </c>
      <c r="M2227" s="1467">
        <v>1.0378999999999999E-2</v>
      </c>
      <c r="N2227" s="1468">
        <v>1.6243046802828971</v>
      </c>
      <c r="O2227" s="1468"/>
    </row>
    <row r="2228" spans="11:15">
      <c r="K2228" s="1465">
        <v>44285</v>
      </c>
      <c r="L2228" s="1466" t="s">
        <v>2127</v>
      </c>
      <c r="M2228" s="1467">
        <v>1.0378999999999999E-2</v>
      </c>
      <c r="N2228" s="1468">
        <v>1.6244732668656638</v>
      </c>
      <c r="O2228" s="1468"/>
    </row>
    <row r="2229" spans="11:15">
      <c r="K2229" s="1465">
        <v>44286</v>
      </c>
      <c r="L2229" s="1466" t="s">
        <v>2127</v>
      </c>
      <c r="M2229" s="1467">
        <v>1.0378999999999999E-2</v>
      </c>
      <c r="N2229" s="1468">
        <v>1.624641870946032</v>
      </c>
      <c r="O2229" s="1468"/>
    </row>
    <row r="2230" spans="11:15">
      <c r="K2230" s="1465">
        <v>44287</v>
      </c>
      <c r="L2230" s="1466" t="s">
        <v>2127</v>
      </c>
      <c r="M2230" s="1467">
        <v>1.0378999999999999E-2</v>
      </c>
      <c r="N2230" s="1468">
        <v>1.6248104925258176</v>
      </c>
      <c r="O2230" s="1468"/>
    </row>
    <row r="2231" spans="11:15">
      <c r="K2231" s="1465">
        <v>44288</v>
      </c>
      <c r="L2231" s="1466"/>
      <c r="M2231" s="1467">
        <v>0</v>
      </c>
      <c r="N2231" s="1468">
        <v>1.6248104925258176</v>
      </c>
      <c r="O2231" s="1468"/>
    </row>
    <row r="2232" spans="11:15">
      <c r="K2232" s="1465">
        <v>44289</v>
      </c>
      <c r="L2232" s="1466"/>
      <c r="M2232" s="1467">
        <v>0</v>
      </c>
      <c r="N2232" s="1468">
        <v>1.6248104925258176</v>
      </c>
      <c r="O2232" s="1468"/>
    </row>
    <row r="2233" spans="11:15">
      <c r="K2233" s="1465">
        <v>44290</v>
      </c>
      <c r="L2233" s="1466"/>
      <c r="M2233" s="1467">
        <v>0</v>
      </c>
      <c r="N2233" s="1468">
        <v>1.6248104925258176</v>
      </c>
      <c r="O2233" s="1468"/>
    </row>
    <row r="2234" spans="11:15">
      <c r="K2234" s="1465">
        <v>44291</v>
      </c>
      <c r="L2234" s="1466" t="s">
        <v>2127</v>
      </c>
      <c r="M2234" s="1467">
        <v>1.0378999999999999E-2</v>
      </c>
      <c r="N2234" s="1468">
        <v>1.6249791316068369</v>
      </c>
      <c r="O2234" s="1468"/>
    </row>
    <row r="2235" spans="11:15">
      <c r="K2235" s="1465">
        <v>44292</v>
      </c>
      <c r="L2235" s="1466" t="s">
        <v>2127</v>
      </c>
      <c r="M2235" s="1467">
        <v>1.0378999999999999E-2</v>
      </c>
      <c r="N2235" s="1468">
        <v>1.6251477881909064</v>
      </c>
      <c r="O2235" s="1468"/>
    </row>
    <row r="2236" spans="11:15">
      <c r="K2236" s="1465">
        <v>44293</v>
      </c>
      <c r="L2236" s="1466" t="s">
        <v>2127</v>
      </c>
      <c r="M2236" s="1467">
        <v>1.0378999999999999E-2</v>
      </c>
      <c r="N2236" s="1468">
        <v>1.6253164622798428</v>
      </c>
      <c r="O2236" s="1468"/>
    </row>
    <row r="2237" spans="11:15">
      <c r="K2237" s="1465">
        <v>44294</v>
      </c>
      <c r="L2237" s="1466" t="s">
        <v>2127</v>
      </c>
      <c r="M2237" s="1467">
        <v>1.0378999999999999E-2</v>
      </c>
      <c r="N2237" s="1468">
        <v>1.6254851538754629</v>
      </c>
      <c r="O2237" s="1468"/>
    </row>
    <row r="2238" spans="11:15">
      <c r="K2238" s="1465">
        <v>44295</v>
      </c>
      <c r="L2238" s="1466" t="s">
        <v>2127</v>
      </c>
      <c r="M2238" s="1467">
        <v>1.0378999999999999E-2</v>
      </c>
      <c r="N2238" s="1468">
        <v>1.6256538629795838</v>
      </c>
      <c r="O2238" s="1468"/>
    </row>
    <row r="2239" spans="11:15">
      <c r="K2239" s="1465">
        <v>44296</v>
      </c>
      <c r="L2239" s="1466"/>
      <c r="M2239" s="1467">
        <v>0</v>
      </c>
      <c r="N2239" s="1468">
        <v>1.6256538629795838</v>
      </c>
      <c r="O2239" s="1468"/>
    </row>
    <row r="2240" spans="11:15">
      <c r="K2240" s="1465">
        <v>44297</v>
      </c>
      <c r="L2240" s="1466"/>
      <c r="M2240" s="1467">
        <v>0</v>
      </c>
      <c r="N2240" s="1468">
        <v>1.6256538629795838</v>
      </c>
      <c r="O2240" s="1468"/>
    </row>
    <row r="2241" spans="11:15">
      <c r="K2241" s="1465">
        <v>44298</v>
      </c>
      <c r="L2241" s="1466" t="s">
        <v>2127</v>
      </c>
      <c r="M2241" s="1467">
        <v>1.0378999999999999E-2</v>
      </c>
      <c r="N2241" s="1468">
        <v>1.6258225895940226</v>
      </c>
      <c r="O2241" s="1468"/>
    </row>
    <row r="2242" spans="11:15">
      <c r="K2242" s="1465">
        <v>44299</v>
      </c>
      <c r="L2242" s="1466" t="s">
        <v>2127</v>
      </c>
      <c r="M2242" s="1467">
        <v>1.0378999999999999E-2</v>
      </c>
      <c r="N2242" s="1468">
        <v>1.6259913337205967</v>
      </c>
      <c r="O2242" s="1468"/>
    </row>
    <row r="2243" spans="11:15">
      <c r="K2243" s="1465">
        <v>44300</v>
      </c>
      <c r="L2243" s="1466" t="s">
        <v>2127</v>
      </c>
      <c r="M2243" s="1467">
        <v>1.0378999999999999E-2</v>
      </c>
      <c r="N2243" s="1468">
        <v>1.6261600953611237</v>
      </c>
      <c r="O2243" s="1468"/>
    </row>
    <row r="2244" spans="11:15">
      <c r="K2244" s="1465">
        <v>44301</v>
      </c>
      <c r="L2244" s="1466" t="s">
        <v>2127</v>
      </c>
      <c r="M2244" s="1467">
        <v>1.0378999999999999E-2</v>
      </c>
      <c r="N2244" s="1468">
        <v>1.6263288745174214</v>
      </c>
      <c r="O2244" s="1468"/>
    </row>
    <row r="2245" spans="11:15">
      <c r="K2245" s="1465">
        <v>44302</v>
      </c>
      <c r="L2245" s="1466" t="s">
        <v>2127</v>
      </c>
      <c r="M2245" s="1467">
        <v>1.0378999999999999E-2</v>
      </c>
      <c r="N2245" s="1468">
        <v>1.6264976711913075</v>
      </c>
      <c r="O2245" s="1468"/>
    </row>
    <row r="2246" spans="11:15">
      <c r="K2246" s="1465">
        <v>44303</v>
      </c>
      <c r="L2246" s="1466"/>
      <c r="M2246" s="1467">
        <v>0</v>
      </c>
      <c r="N2246" s="1468">
        <v>1.6264976711913075</v>
      </c>
      <c r="O2246" s="1468"/>
    </row>
    <row r="2247" spans="11:15">
      <c r="K2247" s="1465">
        <v>44304</v>
      </c>
      <c r="L2247" s="1466"/>
      <c r="M2247" s="1467">
        <v>0</v>
      </c>
      <c r="N2247" s="1468">
        <v>1.6264976711913075</v>
      </c>
      <c r="O2247" s="1468"/>
    </row>
    <row r="2248" spans="11:15">
      <c r="K2248" s="1465">
        <v>44305</v>
      </c>
      <c r="L2248" s="1466" t="s">
        <v>2127</v>
      </c>
      <c r="M2248" s="1467">
        <v>1.0378999999999999E-2</v>
      </c>
      <c r="N2248" s="1468">
        <v>1.6266664853846005</v>
      </c>
      <c r="O2248" s="1468"/>
    </row>
    <row r="2249" spans="11:15">
      <c r="K2249" s="1465">
        <v>44306</v>
      </c>
      <c r="L2249" s="1466" t="s">
        <v>2127</v>
      </c>
      <c r="M2249" s="1467">
        <v>1.0378999999999999E-2</v>
      </c>
      <c r="N2249" s="1468">
        <v>1.6268353170991185</v>
      </c>
      <c r="O2249" s="1468"/>
    </row>
    <row r="2250" spans="11:15">
      <c r="K2250" s="1465">
        <v>44307</v>
      </c>
      <c r="L2250" s="1466"/>
      <c r="M2250" s="1467">
        <v>0</v>
      </c>
      <c r="N2250" s="1468">
        <v>1.6268353170991185</v>
      </c>
      <c r="O2250" s="1468"/>
    </row>
    <row r="2251" spans="11:15">
      <c r="K2251" s="1465">
        <v>44308</v>
      </c>
      <c r="L2251" s="1466" t="s">
        <v>2127</v>
      </c>
      <c r="M2251" s="1467">
        <v>1.0378999999999999E-2</v>
      </c>
      <c r="N2251" s="1468">
        <v>1.6270041663366803</v>
      </c>
      <c r="O2251" s="1468"/>
    </row>
    <row r="2252" spans="11:15">
      <c r="K2252" s="1465">
        <v>44309</v>
      </c>
      <c r="L2252" s="1466" t="s">
        <v>2127</v>
      </c>
      <c r="M2252" s="1467">
        <v>1.0378999999999999E-2</v>
      </c>
      <c r="N2252" s="1468">
        <v>1.6271730330991045</v>
      </c>
      <c r="O2252" s="1468"/>
    </row>
    <row r="2253" spans="11:15">
      <c r="K2253" s="1465">
        <v>44310</v>
      </c>
      <c r="L2253" s="1466"/>
      <c r="M2253" s="1467">
        <v>0</v>
      </c>
      <c r="N2253" s="1468">
        <v>1.6271730330991045</v>
      </c>
      <c r="O2253" s="1468"/>
    </row>
    <row r="2254" spans="11:15">
      <c r="K2254" s="1465">
        <v>44311</v>
      </c>
      <c r="L2254" s="1466"/>
      <c r="M2254" s="1467">
        <v>0</v>
      </c>
      <c r="N2254" s="1468">
        <v>1.6271730330991045</v>
      </c>
      <c r="O2254" s="1468"/>
    </row>
    <row r="2255" spans="11:15">
      <c r="K2255" s="1465">
        <v>44312</v>
      </c>
      <c r="L2255" s="1466" t="s">
        <v>2127</v>
      </c>
      <c r="M2255" s="1467">
        <v>1.0378999999999999E-2</v>
      </c>
      <c r="N2255" s="1468">
        <v>1.62734191738821</v>
      </c>
      <c r="O2255" s="1468"/>
    </row>
    <row r="2256" spans="11:15">
      <c r="K2256" s="1465">
        <v>44313</v>
      </c>
      <c r="L2256" s="1466" t="s">
        <v>2127</v>
      </c>
      <c r="M2256" s="1467">
        <v>1.0378999999999999E-2</v>
      </c>
      <c r="N2256" s="1468">
        <v>1.6275108192058159</v>
      </c>
      <c r="O2256" s="1468"/>
    </row>
    <row r="2257" spans="11:15">
      <c r="K2257" s="1465">
        <v>44314</v>
      </c>
      <c r="L2257" s="1466" t="s">
        <v>2127</v>
      </c>
      <c r="M2257" s="1467">
        <v>1.0378999999999999E-2</v>
      </c>
      <c r="N2257" s="1468">
        <v>1.6276797385537414</v>
      </c>
      <c r="O2257" s="1468"/>
    </row>
    <row r="2258" spans="11:15">
      <c r="K2258" s="1465">
        <v>44315</v>
      </c>
      <c r="L2258" s="1466" t="s">
        <v>2127</v>
      </c>
      <c r="M2258" s="1467">
        <v>1.0378999999999999E-2</v>
      </c>
      <c r="N2258" s="1468">
        <v>1.627848675433806</v>
      </c>
      <c r="O2258" s="1468"/>
    </row>
    <row r="2259" spans="11:15">
      <c r="K2259" s="1465">
        <v>44316</v>
      </c>
      <c r="L2259" s="1466" t="s">
        <v>2127</v>
      </c>
      <c r="M2259" s="1467">
        <v>1.0378999999999999E-2</v>
      </c>
      <c r="N2259" s="1468">
        <v>1.6280176298478293</v>
      </c>
      <c r="O2259" s="1468"/>
    </row>
    <row r="2260" spans="11:15">
      <c r="K2260" s="1465">
        <v>44317</v>
      </c>
      <c r="L2260" s="1466"/>
      <c r="M2260" s="1467">
        <v>0</v>
      </c>
      <c r="N2260" s="1468">
        <v>1.6280176298478293</v>
      </c>
      <c r="O2260" s="1468"/>
    </row>
    <row r="2261" spans="11:15">
      <c r="K2261" s="1465">
        <v>44318</v>
      </c>
      <c r="L2261" s="1466"/>
      <c r="M2261" s="1467">
        <v>0</v>
      </c>
      <c r="N2261" s="1468">
        <v>1.6280176298478293</v>
      </c>
      <c r="O2261" s="1468"/>
    </row>
    <row r="2262" spans="11:15">
      <c r="K2262" s="1465">
        <v>44319</v>
      </c>
      <c r="L2262" s="1466" t="s">
        <v>2127</v>
      </c>
      <c r="M2262" s="1467">
        <v>1.0378999999999999E-2</v>
      </c>
      <c r="N2262" s="1468">
        <v>1.6281866017976312</v>
      </c>
      <c r="O2262" s="1468"/>
    </row>
    <row r="2263" spans="11:15">
      <c r="K2263" s="1465">
        <v>44320</v>
      </c>
      <c r="L2263" s="1466" t="s">
        <v>2127</v>
      </c>
      <c r="M2263" s="1467">
        <v>1.0378999999999999E-2</v>
      </c>
      <c r="N2263" s="1468">
        <v>1.6283555912850318</v>
      </c>
      <c r="O2263" s="1468"/>
    </row>
    <row r="2264" spans="11:15">
      <c r="K2264" s="1465">
        <v>44321</v>
      </c>
      <c r="L2264" s="1466" t="s">
        <v>2127</v>
      </c>
      <c r="M2264" s="1467">
        <v>1.0378999999999999E-2</v>
      </c>
      <c r="N2264" s="1468">
        <v>1.6285245983118515</v>
      </c>
      <c r="O2264" s="1468"/>
    </row>
    <row r="2265" spans="11:15">
      <c r="K2265" s="1465">
        <v>44322</v>
      </c>
      <c r="L2265" s="1466" t="s">
        <v>2127</v>
      </c>
      <c r="M2265" s="1467">
        <v>1.3269E-2</v>
      </c>
      <c r="N2265" s="1468">
        <v>1.6287406872408015</v>
      </c>
      <c r="O2265" s="1468"/>
    </row>
    <row r="2266" spans="11:15">
      <c r="K2266" s="1465">
        <v>44323</v>
      </c>
      <c r="L2266" s="1466" t="s">
        <v>2127</v>
      </c>
      <c r="M2266" s="1467">
        <v>1.3269E-2</v>
      </c>
      <c r="N2266" s="1468">
        <v>1.6289568048425915</v>
      </c>
      <c r="O2266" s="1468"/>
    </row>
    <row r="2267" spans="11:15">
      <c r="K2267" s="1465">
        <v>44324</v>
      </c>
      <c r="L2267" s="1466"/>
      <c r="M2267" s="1467">
        <v>0</v>
      </c>
      <c r="N2267" s="1468">
        <v>1.6289568048425915</v>
      </c>
      <c r="O2267" s="1468"/>
    </row>
    <row r="2268" spans="11:15">
      <c r="K2268" s="1465">
        <v>44325</v>
      </c>
      <c r="L2268" s="1466"/>
      <c r="M2268" s="1467">
        <v>0</v>
      </c>
      <c r="N2268" s="1468">
        <v>1.6289568048425915</v>
      </c>
      <c r="O2268" s="1468"/>
    </row>
    <row r="2269" spans="11:15">
      <c r="K2269" s="1465">
        <v>44326</v>
      </c>
      <c r="L2269" s="1466" t="s">
        <v>2127</v>
      </c>
      <c r="M2269" s="1467">
        <v>1.3269E-2</v>
      </c>
      <c r="N2269" s="1468">
        <v>1.6291729511210262</v>
      </c>
      <c r="O2269" s="1468"/>
    </row>
    <row r="2270" spans="11:15">
      <c r="K2270" s="1465">
        <v>44327</v>
      </c>
      <c r="L2270" s="1466" t="s">
        <v>2127</v>
      </c>
      <c r="M2270" s="1467">
        <v>1.3269E-2</v>
      </c>
      <c r="N2270" s="1468">
        <v>1.6293891260799105</v>
      </c>
      <c r="O2270" s="1468"/>
    </row>
    <row r="2271" spans="11:15">
      <c r="K2271" s="1465">
        <v>44328</v>
      </c>
      <c r="L2271" s="1466" t="s">
        <v>2127</v>
      </c>
      <c r="M2271" s="1467">
        <v>1.3269E-2</v>
      </c>
      <c r="N2271" s="1468">
        <v>1.6296053297230502</v>
      </c>
      <c r="O2271" s="1468"/>
    </row>
    <row r="2272" spans="11:15">
      <c r="K2272" s="1465">
        <v>44329</v>
      </c>
      <c r="L2272" s="1466" t="s">
        <v>2127</v>
      </c>
      <c r="M2272" s="1467">
        <v>1.3269E-2</v>
      </c>
      <c r="N2272" s="1468">
        <v>1.6298215620542511</v>
      </c>
      <c r="O2272" s="1468"/>
    </row>
    <row r="2273" spans="11:15">
      <c r="K2273" s="1465">
        <v>44330</v>
      </c>
      <c r="L2273" s="1466" t="s">
        <v>2127</v>
      </c>
      <c r="M2273" s="1467">
        <v>1.3269E-2</v>
      </c>
      <c r="N2273" s="1468">
        <v>1.6300378230773203</v>
      </c>
      <c r="O2273" s="1468"/>
    </row>
    <row r="2274" spans="11:15">
      <c r="K2274" s="1465">
        <v>44331</v>
      </c>
      <c r="L2274" s="1466"/>
      <c r="M2274" s="1467">
        <v>0</v>
      </c>
      <c r="N2274" s="1468">
        <v>1.6300378230773203</v>
      </c>
      <c r="O2274" s="1468"/>
    </row>
    <row r="2275" spans="11:15">
      <c r="K2275" s="1465">
        <v>44332</v>
      </c>
      <c r="L2275" s="1466"/>
      <c r="M2275" s="1467">
        <v>0</v>
      </c>
      <c r="N2275" s="1468">
        <v>1.6300378230773203</v>
      </c>
      <c r="O2275" s="1468"/>
    </row>
    <row r="2276" spans="11:15">
      <c r="K2276" s="1465">
        <v>44333</v>
      </c>
      <c r="L2276" s="1466" t="s">
        <v>2127</v>
      </c>
      <c r="M2276" s="1467">
        <v>1.3269E-2</v>
      </c>
      <c r="N2276" s="1468">
        <v>1.6302541127960644</v>
      </c>
      <c r="O2276" s="1468"/>
    </row>
    <row r="2277" spans="11:15">
      <c r="K2277" s="1465">
        <v>44334</v>
      </c>
      <c r="L2277" s="1466" t="s">
        <v>2127</v>
      </c>
      <c r="M2277" s="1467">
        <v>1.3269E-2</v>
      </c>
      <c r="N2277" s="1468">
        <v>1.6304704312142912</v>
      </c>
      <c r="O2277" s="1468"/>
    </row>
    <row r="2278" spans="11:15">
      <c r="K2278" s="1465">
        <v>44335</v>
      </c>
      <c r="L2278" s="1466" t="s">
        <v>2127</v>
      </c>
      <c r="M2278" s="1467">
        <v>1.3269E-2</v>
      </c>
      <c r="N2278" s="1468">
        <v>1.6306867783358092</v>
      </c>
      <c r="O2278" s="1468"/>
    </row>
    <row r="2279" spans="11:15">
      <c r="K2279" s="1465">
        <v>44336</v>
      </c>
      <c r="L2279" s="1466" t="s">
        <v>2127</v>
      </c>
      <c r="M2279" s="1467">
        <v>1.3269E-2</v>
      </c>
      <c r="N2279" s="1468">
        <v>1.6309031541644268</v>
      </c>
      <c r="O2279" s="1468"/>
    </row>
    <row r="2280" spans="11:15">
      <c r="K2280" s="1465">
        <v>44337</v>
      </c>
      <c r="L2280" s="1466" t="s">
        <v>2127</v>
      </c>
      <c r="M2280" s="1467">
        <v>1.3269E-2</v>
      </c>
      <c r="N2280" s="1468">
        <v>1.6311195587039529</v>
      </c>
      <c r="O2280" s="1468"/>
    </row>
    <row r="2281" spans="11:15">
      <c r="K2281" s="1465">
        <v>44338</v>
      </c>
      <c r="L2281" s="1466"/>
      <c r="M2281" s="1467">
        <v>0</v>
      </c>
      <c r="N2281" s="1468">
        <v>1.6311195587039529</v>
      </c>
      <c r="O2281" s="1468"/>
    </row>
    <row r="2282" spans="11:15">
      <c r="K2282" s="1465">
        <v>44339</v>
      </c>
      <c r="L2282" s="1466"/>
      <c r="M2282" s="1467">
        <v>0</v>
      </c>
      <c r="N2282" s="1468">
        <v>1.6311195587039529</v>
      </c>
      <c r="O2282" s="1468"/>
    </row>
    <row r="2283" spans="11:15">
      <c r="K2283" s="1465">
        <v>44340</v>
      </c>
      <c r="L2283" s="1466" t="s">
        <v>2127</v>
      </c>
      <c r="M2283" s="1467">
        <v>1.3269E-2</v>
      </c>
      <c r="N2283" s="1468">
        <v>1.6313359919581973</v>
      </c>
      <c r="O2283" s="1468"/>
    </row>
    <row r="2284" spans="11:15">
      <c r="K2284" s="1465">
        <v>44341</v>
      </c>
      <c r="L2284" s="1466" t="s">
        <v>2127</v>
      </c>
      <c r="M2284" s="1467">
        <v>1.3269E-2</v>
      </c>
      <c r="N2284" s="1468">
        <v>1.6315524539309703</v>
      </c>
      <c r="O2284" s="1468"/>
    </row>
    <row r="2285" spans="11:15">
      <c r="K2285" s="1465">
        <v>44342</v>
      </c>
      <c r="L2285" s="1466" t="s">
        <v>2127</v>
      </c>
      <c r="M2285" s="1467">
        <v>1.3269E-2</v>
      </c>
      <c r="N2285" s="1468">
        <v>1.6317689446260824</v>
      </c>
      <c r="O2285" s="1468"/>
    </row>
    <row r="2286" spans="11:15">
      <c r="K2286" s="1465">
        <v>44343</v>
      </c>
      <c r="L2286" s="1466" t="s">
        <v>2127</v>
      </c>
      <c r="M2286" s="1467">
        <v>1.3269E-2</v>
      </c>
      <c r="N2286" s="1468">
        <v>1.6319854640473448</v>
      </c>
      <c r="O2286" s="1468"/>
    </row>
    <row r="2287" spans="11:15">
      <c r="K2287" s="1465">
        <v>44344</v>
      </c>
      <c r="L2287" s="1466" t="s">
        <v>2127</v>
      </c>
      <c r="M2287" s="1467">
        <v>1.3269E-2</v>
      </c>
      <c r="N2287" s="1468">
        <v>1.6322020121985694</v>
      </c>
      <c r="O2287" s="1468"/>
    </row>
    <row r="2288" spans="11:15">
      <c r="K2288" s="1465">
        <v>44345</v>
      </c>
      <c r="L2288" s="1466"/>
      <c r="M2288" s="1467">
        <v>0</v>
      </c>
      <c r="N2288" s="1468">
        <v>1.6322020121985694</v>
      </c>
      <c r="O2288" s="1468"/>
    </row>
    <row r="2289" spans="11:15">
      <c r="K2289" s="1465">
        <v>44346</v>
      </c>
      <c r="L2289" s="1466"/>
      <c r="M2289" s="1467">
        <v>0</v>
      </c>
      <c r="N2289" s="1468">
        <v>1.6322020121985694</v>
      </c>
      <c r="O2289" s="1468"/>
    </row>
    <row r="2290" spans="11:15">
      <c r="K2290" s="1465">
        <v>44347</v>
      </c>
      <c r="L2290" s="1466" t="s">
        <v>2127</v>
      </c>
      <c r="M2290" s="1467">
        <v>1.3269E-2</v>
      </c>
      <c r="N2290" s="1468">
        <v>1.6324185890835681</v>
      </c>
      <c r="O2290" s="1468"/>
    </row>
    <row r="2291" spans="11:15">
      <c r="K2291" s="1465">
        <v>44348</v>
      </c>
      <c r="L2291" s="1466" t="s">
        <v>2127</v>
      </c>
      <c r="M2291" s="1467">
        <v>1.3269E-2</v>
      </c>
      <c r="N2291" s="1468">
        <v>1.6326351947061537</v>
      </c>
      <c r="O2291" s="1468"/>
    </row>
    <row r="2292" spans="11:15">
      <c r="K2292" s="1465">
        <v>44349</v>
      </c>
      <c r="L2292" s="1466" t="s">
        <v>2127</v>
      </c>
      <c r="M2292" s="1467">
        <v>1.3269E-2</v>
      </c>
      <c r="N2292" s="1468">
        <v>1.6328518290701393</v>
      </c>
      <c r="O2292" s="1468"/>
    </row>
    <row r="2293" spans="11:15">
      <c r="K2293" s="1465">
        <v>44350</v>
      </c>
      <c r="L2293" s="1466"/>
      <c r="M2293" s="1467">
        <v>0</v>
      </c>
      <c r="N2293" s="1468">
        <v>1.6328518290701393</v>
      </c>
      <c r="O2293" s="1468"/>
    </row>
    <row r="2294" spans="11:15">
      <c r="K2294" s="1465">
        <v>44351</v>
      </c>
      <c r="L2294" s="1466" t="s">
        <v>2127</v>
      </c>
      <c r="M2294" s="1467">
        <v>1.3269E-2</v>
      </c>
      <c r="N2294" s="1468">
        <v>1.6330684921793386</v>
      </c>
      <c r="O2294" s="1468"/>
    </row>
    <row r="2295" spans="11:15">
      <c r="K2295" s="1465">
        <v>44352</v>
      </c>
      <c r="L2295" s="1466"/>
      <c r="M2295" s="1467">
        <v>0</v>
      </c>
      <c r="N2295" s="1468">
        <v>1.6330684921793386</v>
      </c>
      <c r="O2295" s="1468"/>
    </row>
    <row r="2296" spans="11:15">
      <c r="K2296" s="1465">
        <v>44353</v>
      </c>
      <c r="L2296" s="1466"/>
      <c r="M2296" s="1467">
        <v>0</v>
      </c>
      <c r="N2296" s="1468">
        <v>1.6330684921793386</v>
      </c>
      <c r="O2296" s="1468"/>
    </row>
    <row r="2297" spans="11:15">
      <c r="K2297" s="1465">
        <v>44354</v>
      </c>
      <c r="L2297" s="1466" t="s">
        <v>2127</v>
      </c>
      <c r="M2297" s="1467">
        <v>1.3269E-2</v>
      </c>
      <c r="N2297" s="1468">
        <v>1.633285184037566</v>
      </c>
      <c r="O2297" s="1468"/>
    </row>
    <row r="2298" spans="11:15">
      <c r="K2298" s="1465">
        <v>44355</v>
      </c>
      <c r="L2298" s="1466" t="s">
        <v>2127</v>
      </c>
      <c r="M2298" s="1467">
        <v>1.3269E-2</v>
      </c>
      <c r="N2298" s="1468">
        <v>1.6335019046486359</v>
      </c>
      <c r="O2298" s="1468"/>
    </row>
    <row r="2299" spans="11:15">
      <c r="K2299" s="1465">
        <v>44356</v>
      </c>
      <c r="L2299" s="1466" t="s">
        <v>2127</v>
      </c>
      <c r="M2299" s="1467">
        <v>1.3269E-2</v>
      </c>
      <c r="N2299" s="1468">
        <v>1.6337186540163637</v>
      </c>
      <c r="O2299" s="1468"/>
    </row>
    <row r="2300" spans="11:15">
      <c r="K2300" s="1465">
        <v>44357</v>
      </c>
      <c r="L2300" s="1466" t="s">
        <v>2127</v>
      </c>
      <c r="M2300" s="1467">
        <v>1.3269E-2</v>
      </c>
      <c r="N2300" s="1468">
        <v>1.6339354321445652</v>
      </c>
      <c r="O2300" s="1468"/>
    </row>
    <row r="2301" spans="11:15">
      <c r="K2301" s="1465">
        <v>44358</v>
      </c>
      <c r="L2301" s="1466" t="s">
        <v>2127</v>
      </c>
      <c r="M2301" s="1467">
        <v>1.3269E-2</v>
      </c>
      <c r="N2301" s="1468">
        <v>1.6341522390370564</v>
      </c>
      <c r="O2301" s="1468"/>
    </row>
    <row r="2302" spans="11:15">
      <c r="K2302" s="1465">
        <v>44359</v>
      </c>
      <c r="L2302" s="1466"/>
      <c r="M2302" s="1467">
        <v>0</v>
      </c>
      <c r="N2302" s="1468">
        <v>1.6341522390370564</v>
      </c>
      <c r="O2302" s="1468"/>
    </row>
    <row r="2303" spans="11:15">
      <c r="K2303" s="1465">
        <v>44360</v>
      </c>
      <c r="L2303" s="1466"/>
      <c r="M2303" s="1467">
        <v>0</v>
      </c>
      <c r="N2303" s="1468">
        <v>1.6341522390370564</v>
      </c>
      <c r="O2303" s="1468"/>
    </row>
    <row r="2304" spans="11:15">
      <c r="K2304" s="1465">
        <v>44361</v>
      </c>
      <c r="L2304" s="1466" t="s">
        <v>2127</v>
      </c>
      <c r="M2304" s="1467">
        <v>1.3269E-2</v>
      </c>
      <c r="N2304" s="1468">
        <v>1.6343690746976542</v>
      </c>
      <c r="O2304" s="1468"/>
    </row>
    <row r="2305" spans="11:15">
      <c r="K2305" s="1465">
        <v>44362</v>
      </c>
      <c r="L2305" s="1466" t="s">
        <v>2127</v>
      </c>
      <c r="M2305" s="1467">
        <v>1.3269E-2</v>
      </c>
      <c r="N2305" s="1468">
        <v>1.634585939130176</v>
      </c>
      <c r="O2305" s="1468"/>
    </row>
    <row r="2306" spans="11:15">
      <c r="K2306" s="1465">
        <v>44363</v>
      </c>
      <c r="L2306" s="1466" t="s">
        <v>2127</v>
      </c>
      <c r="M2306" s="1467">
        <v>1.3269E-2</v>
      </c>
      <c r="N2306" s="1468">
        <v>1.6348028323384394</v>
      </c>
      <c r="O2306" s="1468"/>
    </row>
    <row r="2307" spans="11:15">
      <c r="K2307" s="1465">
        <v>44364</v>
      </c>
      <c r="L2307" s="1466" t="s">
        <v>2127</v>
      </c>
      <c r="M2307" s="1467">
        <v>1.6136999999999999E-2</v>
      </c>
      <c r="N2307" s="1468">
        <v>1.635066640471494</v>
      </c>
      <c r="O2307" s="1468"/>
    </row>
    <row r="2308" spans="11:15">
      <c r="K2308" s="1465">
        <v>44365</v>
      </c>
      <c r="L2308" s="1466" t="s">
        <v>2127</v>
      </c>
      <c r="M2308" s="1467">
        <v>1.6136999999999999E-2</v>
      </c>
      <c r="N2308" s="1468">
        <v>1.6353304911752669</v>
      </c>
      <c r="O2308" s="1468"/>
    </row>
    <row r="2309" spans="11:15">
      <c r="K2309" s="1465">
        <v>44366</v>
      </c>
      <c r="L2309" s="1466"/>
      <c r="M2309" s="1467">
        <v>0</v>
      </c>
      <c r="N2309" s="1468">
        <v>1.6353304911752669</v>
      </c>
      <c r="O2309" s="1468"/>
    </row>
    <row r="2310" spans="11:15">
      <c r="K2310" s="1465">
        <v>44367</v>
      </c>
      <c r="L2310" s="1466"/>
      <c r="M2310" s="1467">
        <v>0</v>
      </c>
      <c r="N2310" s="1468">
        <v>1.6353304911752669</v>
      </c>
      <c r="O2310" s="1468"/>
    </row>
    <row r="2311" spans="11:15">
      <c r="K2311" s="1465">
        <v>44368</v>
      </c>
      <c r="L2311" s="1466" t="s">
        <v>2127</v>
      </c>
      <c r="M2311" s="1467">
        <v>1.6136999999999999E-2</v>
      </c>
      <c r="N2311" s="1468">
        <v>1.6355943844566279</v>
      </c>
      <c r="O2311" s="1468"/>
    </row>
    <row r="2312" spans="11:15">
      <c r="K2312" s="1465">
        <v>44369</v>
      </c>
      <c r="L2312" s="1466" t="s">
        <v>2127</v>
      </c>
      <c r="M2312" s="1467">
        <v>1.6136999999999999E-2</v>
      </c>
      <c r="N2312" s="1468">
        <v>1.6358583203224477</v>
      </c>
      <c r="O2312" s="1468"/>
    </row>
    <row r="2313" spans="11:15">
      <c r="K2313" s="1465">
        <v>44370</v>
      </c>
      <c r="L2313" s="1466" t="s">
        <v>2127</v>
      </c>
      <c r="M2313" s="1467">
        <v>1.6136999999999999E-2</v>
      </c>
      <c r="N2313" s="1468">
        <v>1.6361222987795982</v>
      </c>
      <c r="O2313" s="1468"/>
    </row>
    <row r="2314" spans="11:15">
      <c r="K2314" s="1465">
        <v>44371</v>
      </c>
      <c r="L2314" s="1466" t="s">
        <v>2127</v>
      </c>
      <c r="M2314" s="1467">
        <v>1.6136999999999999E-2</v>
      </c>
      <c r="N2314" s="1468">
        <v>1.6363863198349524</v>
      </c>
      <c r="O2314" s="1468"/>
    </row>
    <row r="2315" spans="11:15">
      <c r="K2315" s="1465">
        <v>44372</v>
      </c>
      <c r="L2315" s="1466" t="s">
        <v>2127</v>
      </c>
      <c r="M2315" s="1467">
        <v>1.6136999999999999E-2</v>
      </c>
      <c r="N2315" s="1468">
        <v>1.6366503834953843</v>
      </c>
      <c r="O2315" s="1468"/>
    </row>
    <row r="2316" spans="11:15">
      <c r="K2316" s="1465">
        <v>44373</v>
      </c>
      <c r="L2316" s="1466"/>
      <c r="M2316" s="1467">
        <v>0</v>
      </c>
      <c r="N2316" s="1468">
        <v>1.6366503834953843</v>
      </c>
      <c r="O2316" s="1468"/>
    </row>
    <row r="2317" spans="11:15">
      <c r="K2317" s="1465">
        <v>44374</v>
      </c>
      <c r="L2317" s="1466"/>
      <c r="M2317" s="1467">
        <v>0</v>
      </c>
      <c r="N2317" s="1468">
        <v>1.6366503834953843</v>
      </c>
      <c r="O2317" s="1468"/>
    </row>
    <row r="2318" spans="11:15">
      <c r="K2318" s="1465">
        <v>44375</v>
      </c>
      <c r="L2318" s="1466" t="s">
        <v>2127</v>
      </c>
      <c r="M2318" s="1467">
        <v>1.6136999999999999E-2</v>
      </c>
      <c r="N2318" s="1468">
        <v>1.636914489767769</v>
      </c>
      <c r="O2318" s="1468"/>
    </row>
    <row r="2319" spans="11:15">
      <c r="K2319" s="1465">
        <v>44376</v>
      </c>
      <c r="L2319" s="1466" t="s">
        <v>2127</v>
      </c>
      <c r="M2319" s="1467">
        <v>1.6136999999999999E-2</v>
      </c>
      <c r="N2319" s="1468">
        <v>1.6371786386589828</v>
      </c>
      <c r="O2319" s="1468"/>
    </row>
    <row r="2320" spans="11:15">
      <c r="K2320" s="1465">
        <v>44377</v>
      </c>
      <c r="L2320" s="1466" t="s">
        <v>2127</v>
      </c>
      <c r="M2320" s="1467">
        <v>1.6136999999999999E-2</v>
      </c>
      <c r="N2320" s="1468">
        <v>1.6374428301759034</v>
      </c>
      <c r="O2320" s="1468"/>
    </row>
    <row r="2321" spans="11:15">
      <c r="K2321" s="1465">
        <v>44378</v>
      </c>
      <c r="L2321" s="1466" t="s">
        <v>2127</v>
      </c>
      <c r="M2321" s="1467">
        <v>1.6136999999999999E-2</v>
      </c>
      <c r="N2321" s="1468">
        <v>1.637707064325409</v>
      </c>
      <c r="O2321" s="1468"/>
    </row>
    <row r="2322" spans="11:15">
      <c r="K2322" s="1465">
        <v>44379</v>
      </c>
      <c r="L2322" s="1466" t="s">
        <v>2127</v>
      </c>
      <c r="M2322" s="1467">
        <v>1.6136999999999999E-2</v>
      </c>
      <c r="N2322" s="1468">
        <v>1.6379713411143793</v>
      </c>
      <c r="O2322" s="1468"/>
    </row>
    <row r="2323" spans="11:15">
      <c r="K2323" s="1465">
        <v>44380</v>
      </c>
      <c r="L2323" s="1466"/>
      <c r="M2323" s="1467">
        <v>0</v>
      </c>
      <c r="N2323" s="1468">
        <v>1.6379713411143793</v>
      </c>
      <c r="O2323" s="1468"/>
    </row>
    <row r="2324" spans="11:15">
      <c r="K2324" s="1465">
        <v>44381</v>
      </c>
      <c r="L2324" s="1466"/>
      <c r="M2324" s="1467">
        <v>0</v>
      </c>
      <c r="N2324" s="1468">
        <v>1.6379713411143793</v>
      </c>
      <c r="O2324" s="1468"/>
    </row>
    <row r="2325" spans="11:15">
      <c r="K2325" s="1465">
        <v>44382</v>
      </c>
      <c r="L2325" s="1466" t="s">
        <v>2127</v>
      </c>
      <c r="M2325" s="1467">
        <v>1.6136999999999999E-2</v>
      </c>
      <c r="N2325" s="1468">
        <v>1.638235660549695</v>
      </c>
      <c r="O2325" s="1468"/>
    </row>
    <row r="2326" spans="11:15">
      <c r="K2326" s="1465">
        <v>44383</v>
      </c>
      <c r="L2326" s="1466" t="s">
        <v>2127</v>
      </c>
      <c r="M2326" s="1467">
        <v>1.6136999999999999E-2</v>
      </c>
      <c r="N2326" s="1468">
        <v>1.638500022638238</v>
      </c>
      <c r="O2326" s="1468"/>
    </row>
    <row r="2327" spans="11:15">
      <c r="K2327" s="1465">
        <v>44384</v>
      </c>
      <c r="L2327" s="1466" t="s">
        <v>2127</v>
      </c>
      <c r="M2327" s="1467">
        <v>1.6136999999999999E-2</v>
      </c>
      <c r="N2327" s="1468">
        <v>1.6387644273868913</v>
      </c>
      <c r="O2327" s="1468"/>
    </row>
    <row r="2328" spans="11:15">
      <c r="K2328" s="1465">
        <v>44385</v>
      </c>
      <c r="L2328" s="1466" t="s">
        <v>2127</v>
      </c>
      <c r="M2328" s="1467">
        <v>1.6136999999999999E-2</v>
      </c>
      <c r="N2328" s="1468">
        <v>1.6390288748025388</v>
      </c>
      <c r="O2328" s="1468"/>
    </row>
    <row r="2329" spans="11:15">
      <c r="K2329" s="1465">
        <v>44386</v>
      </c>
      <c r="L2329" s="1466" t="s">
        <v>2127</v>
      </c>
      <c r="M2329" s="1467">
        <v>1.6136999999999999E-2</v>
      </c>
      <c r="N2329" s="1468">
        <v>1.6392933648920658</v>
      </c>
      <c r="O2329" s="1468"/>
    </row>
    <row r="2330" spans="11:15">
      <c r="K2330" s="1465">
        <v>44387</v>
      </c>
      <c r="L2330" s="1466"/>
      <c r="M2330" s="1467">
        <v>0</v>
      </c>
      <c r="N2330" s="1468">
        <v>1.6392933648920658</v>
      </c>
      <c r="O2330" s="1468"/>
    </row>
    <row r="2331" spans="11:15">
      <c r="K2331" s="1465">
        <v>44388</v>
      </c>
      <c r="L2331" s="1466"/>
      <c r="M2331" s="1467">
        <v>0</v>
      </c>
      <c r="N2331" s="1468">
        <v>1.6392933648920658</v>
      </c>
      <c r="O2331" s="1468"/>
    </row>
    <row r="2332" spans="11:15">
      <c r="K2332" s="1465">
        <v>44389</v>
      </c>
      <c r="L2332" s="1466" t="s">
        <v>2127</v>
      </c>
      <c r="M2332" s="1467">
        <v>1.6136999999999999E-2</v>
      </c>
      <c r="N2332" s="1468">
        <v>1.6395578976623586</v>
      </c>
      <c r="O2332" s="1468"/>
    </row>
    <row r="2333" spans="11:15">
      <c r="K2333" s="1465">
        <v>44390</v>
      </c>
      <c r="L2333" s="1466" t="s">
        <v>2127</v>
      </c>
      <c r="M2333" s="1467">
        <v>1.6136999999999999E-2</v>
      </c>
      <c r="N2333" s="1468">
        <v>1.6398224731203044</v>
      </c>
      <c r="O2333" s="1468"/>
    </row>
    <row r="2334" spans="11:15">
      <c r="K2334" s="1465">
        <v>44391</v>
      </c>
      <c r="L2334" s="1466" t="s">
        <v>2127</v>
      </c>
      <c r="M2334" s="1467">
        <v>1.6136999999999999E-2</v>
      </c>
      <c r="N2334" s="1468">
        <v>1.6400870912727918</v>
      </c>
      <c r="O2334" s="1468"/>
    </row>
    <row r="2335" spans="11:15">
      <c r="K2335" s="1465">
        <v>44392</v>
      </c>
      <c r="L2335" s="1466" t="s">
        <v>2127</v>
      </c>
      <c r="M2335" s="1467">
        <v>1.6136999999999999E-2</v>
      </c>
      <c r="N2335" s="1468">
        <v>1.6403517521267106</v>
      </c>
      <c r="O2335" s="1468"/>
    </row>
    <row r="2336" spans="11:15">
      <c r="K2336" s="1465">
        <v>44393</v>
      </c>
      <c r="L2336" s="1466" t="s">
        <v>2127</v>
      </c>
      <c r="M2336" s="1467">
        <v>1.6136999999999999E-2</v>
      </c>
      <c r="N2336" s="1468">
        <v>1.6406164556889513</v>
      </c>
      <c r="O2336" s="1468"/>
    </row>
    <row r="2337" spans="11:15">
      <c r="K2337" s="1465">
        <v>44394</v>
      </c>
      <c r="L2337" s="1466"/>
      <c r="M2337" s="1467">
        <v>0</v>
      </c>
      <c r="N2337" s="1468">
        <v>1.6406164556889513</v>
      </c>
      <c r="O2337" s="1468"/>
    </row>
    <row r="2338" spans="11:15">
      <c r="K2338" s="1465">
        <v>44395</v>
      </c>
      <c r="L2338" s="1466"/>
      <c r="M2338" s="1467">
        <v>0</v>
      </c>
      <c r="N2338" s="1468">
        <v>1.6406164556889513</v>
      </c>
      <c r="O2338" s="1468"/>
    </row>
    <row r="2339" spans="11:15">
      <c r="K2339" s="1465">
        <v>44396</v>
      </c>
      <c r="L2339" s="1466" t="s">
        <v>2127</v>
      </c>
      <c r="M2339" s="1467">
        <v>1.6136999999999999E-2</v>
      </c>
      <c r="N2339" s="1468">
        <v>1.6408812019664059</v>
      </c>
      <c r="O2339" s="1468"/>
    </row>
    <row r="2340" spans="11:15">
      <c r="K2340" s="1465">
        <v>44397</v>
      </c>
      <c r="L2340" s="1466" t="s">
        <v>2127</v>
      </c>
      <c r="M2340" s="1467">
        <v>1.6136999999999999E-2</v>
      </c>
      <c r="N2340" s="1468">
        <v>1.6411459909659674</v>
      </c>
      <c r="O2340" s="1468"/>
    </row>
    <row r="2341" spans="11:15">
      <c r="K2341" s="1465">
        <v>44398</v>
      </c>
      <c r="L2341" s="1466" t="s">
        <v>2127</v>
      </c>
      <c r="M2341" s="1467">
        <v>1.6136999999999999E-2</v>
      </c>
      <c r="N2341" s="1468">
        <v>1.6414108226945296</v>
      </c>
      <c r="O2341" s="1468"/>
    </row>
    <row r="2342" spans="11:15">
      <c r="K2342" s="1465">
        <v>44399</v>
      </c>
      <c r="L2342" s="1466" t="s">
        <v>2127</v>
      </c>
      <c r="M2342" s="1467">
        <v>1.6136999999999999E-2</v>
      </c>
      <c r="N2342" s="1468">
        <v>1.6416756971589879</v>
      </c>
      <c r="O2342" s="1468"/>
    </row>
    <row r="2343" spans="11:15">
      <c r="K2343" s="1465">
        <v>44400</v>
      </c>
      <c r="L2343" s="1466" t="s">
        <v>2127</v>
      </c>
      <c r="M2343" s="1467">
        <v>1.6136999999999999E-2</v>
      </c>
      <c r="N2343" s="1468">
        <v>1.6419406143662385</v>
      </c>
      <c r="O2343" s="1468"/>
    </row>
    <row r="2344" spans="11:15">
      <c r="K2344" s="1465">
        <v>44401</v>
      </c>
      <c r="L2344" s="1466"/>
      <c r="M2344" s="1467">
        <v>0</v>
      </c>
      <c r="N2344" s="1468">
        <v>1.6419406143662385</v>
      </c>
      <c r="O2344" s="1468"/>
    </row>
    <row r="2345" spans="11:15">
      <c r="K2345" s="1465">
        <v>44402</v>
      </c>
      <c r="L2345" s="1466"/>
      <c r="M2345" s="1467">
        <v>0</v>
      </c>
      <c r="N2345" s="1468">
        <v>1.6419406143662385</v>
      </c>
      <c r="O2345" s="1468"/>
    </row>
    <row r="2346" spans="11:15">
      <c r="K2346" s="1465">
        <v>44403</v>
      </c>
      <c r="L2346" s="1466" t="s">
        <v>2127</v>
      </c>
      <c r="M2346" s="1467">
        <v>1.6136999999999999E-2</v>
      </c>
      <c r="N2346" s="1468">
        <v>1.6422055743231789</v>
      </c>
      <c r="O2346" s="1468"/>
    </row>
    <row r="2347" spans="11:15">
      <c r="K2347" s="1465">
        <v>44404</v>
      </c>
      <c r="L2347" s="1466" t="s">
        <v>2127</v>
      </c>
      <c r="M2347" s="1467">
        <v>1.6136999999999999E-2</v>
      </c>
      <c r="N2347" s="1468">
        <v>1.6424705770367076</v>
      </c>
      <c r="O2347" s="1468"/>
    </row>
    <row r="2348" spans="11:15">
      <c r="K2348" s="1465">
        <v>44405</v>
      </c>
      <c r="L2348" s="1466" t="s">
        <v>2127</v>
      </c>
      <c r="M2348" s="1467">
        <v>1.6136999999999999E-2</v>
      </c>
      <c r="N2348" s="1468">
        <v>1.6427356225137242</v>
      </c>
      <c r="O2348" s="1468"/>
    </row>
    <row r="2349" spans="11:15">
      <c r="K2349" s="1465">
        <v>44406</v>
      </c>
      <c r="L2349" s="1466" t="s">
        <v>2127</v>
      </c>
      <c r="M2349" s="1467">
        <v>1.6136999999999999E-2</v>
      </c>
      <c r="N2349" s="1468">
        <v>1.6430007107611293</v>
      </c>
      <c r="O2349" s="1468"/>
    </row>
    <row r="2350" spans="11:15">
      <c r="K2350" s="1465">
        <v>44407</v>
      </c>
      <c r="L2350" s="1466" t="s">
        <v>2127</v>
      </c>
      <c r="M2350" s="1467">
        <v>1.6136999999999999E-2</v>
      </c>
      <c r="N2350" s="1468">
        <v>1.6432658417858248</v>
      </c>
      <c r="O2350" s="1468"/>
    </row>
    <row r="2351" spans="11:15">
      <c r="K2351" s="1465">
        <v>44408</v>
      </c>
      <c r="L2351" s="1466"/>
      <c r="M2351" s="1467">
        <v>0</v>
      </c>
      <c r="N2351" s="1468">
        <v>1.6432658417858248</v>
      </c>
      <c r="O2351" s="1468"/>
    </row>
    <row r="2352" spans="11:15">
      <c r="K2352" s="1465">
        <v>44409</v>
      </c>
      <c r="L2352" s="1466"/>
      <c r="M2352" s="1467">
        <v>0</v>
      </c>
      <c r="N2352" s="1468">
        <v>1.6432658417858248</v>
      </c>
      <c r="O2352" s="1468"/>
    </row>
    <row r="2353" spans="11:15">
      <c r="K2353" s="1465">
        <v>44410</v>
      </c>
      <c r="L2353" s="1466" t="s">
        <v>2127</v>
      </c>
      <c r="M2353" s="1467">
        <v>1.6136999999999999E-2</v>
      </c>
      <c r="N2353" s="1468">
        <v>1.6435310155947138</v>
      </c>
      <c r="O2353" s="1468"/>
    </row>
    <row r="2354" spans="11:15">
      <c r="K2354" s="1465">
        <v>44411</v>
      </c>
      <c r="L2354" s="1466" t="s">
        <v>2127</v>
      </c>
      <c r="M2354" s="1467">
        <v>1.6136999999999999E-2</v>
      </c>
      <c r="N2354" s="1468">
        <v>1.6437962321947004</v>
      </c>
      <c r="O2354" s="1468"/>
    </row>
    <row r="2355" spans="11:15">
      <c r="K2355" s="1465">
        <v>44412</v>
      </c>
      <c r="L2355" s="1466" t="s">
        <v>2127</v>
      </c>
      <c r="M2355" s="1467">
        <v>1.6136999999999999E-2</v>
      </c>
      <c r="N2355" s="1468">
        <v>1.6440614915926897</v>
      </c>
      <c r="O2355" s="1468"/>
    </row>
    <row r="2356" spans="11:15">
      <c r="K2356" s="1465">
        <v>44413</v>
      </c>
      <c r="L2356" s="1466" t="s">
        <v>2127</v>
      </c>
      <c r="M2356" s="1467">
        <v>1.993E-2</v>
      </c>
      <c r="N2356" s="1468">
        <v>1.6443891530479642</v>
      </c>
      <c r="O2356" s="1468"/>
    </row>
    <row r="2357" spans="11:15">
      <c r="K2357" s="1465">
        <v>44414</v>
      </c>
      <c r="L2357" s="1466" t="s">
        <v>2127</v>
      </c>
      <c r="M2357" s="1467">
        <v>1.993E-2</v>
      </c>
      <c r="N2357" s="1468">
        <v>1.6447168798061667</v>
      </c>
      <c r="O2357" s="1468"/>
    </row>
    <row r="2358" spans="11:15">
      <c r="K2358" s="1465">
        <v>44415</v>
      </c>
      <c r="L2358" s="1466"/>
      <c r="M2358" s="1467">
        <v>0</v>
      </c>
      <c r="N2358" s="1468">
        <v>1.6447168798061667</v>
      </c>
      <c r="O2358" s="1468"/>
    </row>
    <row r="2359" spans="11:15">
      <c r="K2359" s="1465">
        <v>44416</v>
      </c>
      <c r="L2359" s="1466"/>
      <c r="M2359" s="1467">
        <v>0</v>
      </c>
      <c r="N2359" s="1468">
        <v>1.6447168798061667</v>
      </c>
      <c r="O2359" s="1468"/>
    </row>
    <row r="2360" spans="11:15">
      <c r="K2360" s="1465">
        <v>44417</v>
      </c>
      <c r="L2360" s="1466" t="s">
        <v>2127</v>
      </c>
      <c r="M2360" s="1467">
        <v>1.993E-2</v>
      </c>
      <c r="N2360" s="1468">
        <v>1.645044671880312</v>
      </c>
      <c r="O2360" s="1468"/>
    </row>
    <row r="2361" spans="11:15">
      <c r="K2361" s="1465">
        <v>44418</v>
      </c>
      <c r="L2361" s="1466" t="s">
        <v>2127</v>
      </c>
      <c r="M2361" s="1467">
        <v>1.993E-2</v>
      </c>
      <c r="N2361" s="1468">
        <v>1.6453725292834178</v>
      </c>
      <c r="O2361" s="1468"/>
    </row>
    <row r="2362" spans="11:15">
      <c r="K2362" s="1465">
        <v>44419</v>
      </c>
      <c r="L2362" s="1466" t="s">
        <v>2127</v>
      </c>
      <c r="M2362" s="1467">
        <v>1.993E-2</v>
      </c>
      <c r="N2362" s="1468">
        <v>1.6457004520285041</v>
      </c>
      <c r="O2362" s="1468"/>
    </row>
    <row r="2363" spans="11:15">
      <c r="K2363" s="1465">
        <v>44420</v>
      </c>
      <c r="L2363" s="1466" t="s">
        <v>2127</v>
      </c>
      <c r="M2363" s="1467">
        <v>1.993E-2</v>
      </c>
      <c r="N2363" s="1468">
        <v>1.6460284401285934</v>
      </c>
      <c r="O2363" s="1468"/>
    </row>
    <row r="2364" spans="11:15">
      <c r="K2364" s="1465">
        <v>44421</v>
      </c>
      <c r="L2364" s="1466" t="s">
        <v>2127</v>
      </c>
      <c r="M2364" s="1467">
        <v>1.993E-2</v>
      </c>
      <c r="N2364" s="1468">
        <v>1.646356493596711</v>
      </c>
      <c r="O2364" s="1468"/>
    </row>
    <row r="2365" spans="11:15">
      <c r="K2365" s="1465">
        <v>44422</v>
      </c>
      <c r="L2365" s="1466"/>
      <c r="M2365" s="1467">
        <v>0</v>
      </c>
      <c r="N2365" s="1468">
        <v>1.646356493596711</v>
      </c>
      <c r="O2365" s="1468"/>
    </row>
    <row r="2366" spans="11:15">
      <c r="K2366" s="1465">
        <v>44423</v>
      </c>
      <c r="L2366" s="1466"/>
      <c r="M2366" s="1467">
        <v>0</v>
      </c>
      <c r="N2366" s="1468">
        <v>1.646356493596711</v>
      </c>
      <c r="O2366" s="1468"/>
    </row>
    <row r="2367" spans="11:15">
      <c r="K2367" s="1465">
        <v>44424</v>
      </c>
      <c r="L2367" s="1466" t="s">
        <v>2127</v>
      </c>
      <c r="M2367" s="1467">
        <v>1.993E-2</v>
      </c>
      <c r="N2367" s="1468">
        <v>1.6466846124458849</v>
      </c>
      <c r="O2367" s="1468"/>
    </row>
    <row r="2368" spans="11:15">
      <c r="K2368" s="1465">
        <v>44425</v>
      </c>
      <c r="L2368" s="1466" t="s">
        <v>2127</v>
      </c>
      <c r="M2368" s="1467">
        <v>1.993E-2</v>
      </c>
      <c r="N2368" s="1468">
        <v>1.6470127966891455</v>
      </c>
      <c r="O2368" s="1468"/>
    </row>
    <row r="2369" spans="11:15">
      <c r="K2369" s="1465">
        <v>44426</v>
      </c>
      <c r="L2369" s="1466" t="s">
        <v>2127</v>
      </c>
      <c r="M2369" s="1467">
        <v>1.993E-2</v>
      </c>
      <c r="N2369" s="1468">
        <v>1.6473410463395257</v>
      </c>
      <c r="O2369" s="1468"/>
    </row>
    <row r="2370" spans="11:15">
      <c r="K2370" s="1465">
        <v>44427</v>
      </c>
      <c r="L2370" s="1466" t="s">
        <v>2127</v>
      </c>
      <c r="M2370" s="1467">
        <v>1.993E-2</v>
      </c>
      <c r="N2370" s="1468">
        <v>1.6476693614100613</v>
      </c>
      <c r="O2370" s="1468"/>
    </row>
    <row r="2371" spans="11:15">
      <c r="K2371" s="1465">
        <v>44428</v>
      </c>
      <c r="L2371" s="1466" t="s">
        <v>2127</v>
      </c>
      <c r="M2371" s="1467">
        <v>1.993E-2</v>
      </c>
      <c r="N2371" s="1468">
        <v>1.6479977419137903</v>
      </c>
      <c r="O2371" s="1468"/>
    </row>
    <row r="2372" spans="11:15">
      <c r="K2372" s="1465">
        <v>44429</v>
      </c>
      <c r="L2372" s="1466"/>
      <c r="M2372" s="1467">
        <v>0</v>
      </c>
      <c r="N2372" s="1468">
        <v>1.6479977419137903</v>
      </c>
      <c r="O2372" s="1468"/>
    </row>
    <row r="2373" spans="11:15">
      <c r="K2373" s="1465">
        <v>44430</v>
      </c>
      <c r="L2373" s="1466"/>
      <c r="M2373" s="1467">
        <v>0</v>
      </c>
      <c r="N2373" s="1468">
        <v>1.6479977419137903</v>
      </c>
      <c r="O2373" s="1468"/>
    </row>
    <row r="2374" spans="11:15">
      <c r="K2374" s="1465">
        <v>44431</v>
      </c>
      <c r="L2374" s="1466" t="s">
        <v>2127</v>
      </c>
      <c r="M2374" s="1467">
        <v>1.993E-2</v>
      </c>
      <c r="N2374" s="1468">
        <v>1.6483261878637538</v>
      </c>
      <c r="O2374" s="1468"/>
    </row>
    <row r="2375" spans="11:15">
      <c r="K2375" s="1465">
        <v>44432</v>
      </c>
      <c r="L2375" s="1466" t="s">
        <v>2127</v>
      </c>
      <c r="M2375" s="1467">
        <v>1.993E-2</v>
      </c>
      <c r="N2375" s="1468">
        <v>1.6486546992729951</v>
      </c>
      <c r="O2375" s="1468"/>
    </row>
    <row r="2376" spans="11:15">
      <c r="K2376" s="1465">
        <v>44433</v>
      </c>
      <c r="L2376" s="1466" t="s">
        <v>2127</v>
      </c>
      <c r="M2376" s="1467">
        <v>1.993E-2</v>
      </c>
      <c r="N2376" s="1468">
        <v>1.6489832761545602</v>
      </c>
      <c r="O2376" s="1468"/>
    </row>
    <row r="2377" spans="11:15">
      <c r="K2377" s="1465">
        <v>44434</v>
      </c>
      <c r="L2377" s="1466" t="s">
        <v>2127</v>
      </c>
      <c r="M2377" s="1467">
        <v>1.993E-2</v>
      </c>
      <c r="N2377" s="1468">
        <v>1.6493119185214977</v>
      </c>
      <c r="O2377" s="1468"/>
    </row>
    <row r="2378" spans="11:15">
      <c r="K2378" s="1465">
        <v>44435</v>
      </c>
      <c r="L2378" s="1466" t="s">
        <v>2127</v>
      </c>
      <c r="M2378" s="1467">
        <v>1.993E-2</v>
      </c>
      <c r="N2378" s="1468">
        <v>1.649640626386859</v>
      </c>
      <c r="O2378" s="1468"/>
    </row>
    <row r="2379" spans="11:15">
      <c r="K2379" s="1465">
        <v>44436</v>
      </c>
      <c r="L2379" s="1466"/>
      <c r="M2379" s="1467">
        <v>0</v>
      </c>
      <c r="N2379" s="1468">
        <v>1.649640626386859</v>
      </c>
      <c r="O2379" s="1468"/>
    </row>
    <row r="2380" spans="11:15">
      <c r="K2380" s="1465">
        <v>44437</v>
      </c>
      <c r="L2380" s="1466"/>
      <c r="M2380" s="1467">
        <v>0</v>
      </c>
      <c r="N2380" s="1468">
        <v>1.649640626386859</v>
      </c>
      <c r="O2380" s="1468"/>
    </row>
    <row r="2381" spans="11:15">
      <c r="K2381" s="1465">
        <v>44438</v>
      </c>
      <c r="L2381" s="1466" t="s">
        <v>2127</v>
      </c>
      <c r="M2381" s="1467">
        <v>1.993E-2</v>
      </c>
      <c r="N2381" s="1468">
        <v>1.6499693997636979</v>
      </c>
      <c r="O2381" s="1468"/>
    </row>
    <row r="2382" spans="11:15">
      <c r="K2382" s="1465">
        <v>44439</v>
      </c>
      <c r="L2382" s="1466" t="s">
        <v>2127</v>
      </c>
      <c r="M2382" s="1467">
        <v>1.993E-2</v>
      </c>
      <c r="N2382" s="1468">
        <v>1.6502982386650709</v>
      </c>
      <c r="O2382" s="1468"/>
    </row>
    <row r="2383" spans="11:15">
      <c r="K2383" s="1465">
        <v>44440</v>
      </c>
      <c r="L2383" s="1466" t="s">
        <v>2127</v>
      </c>
      <c r="M2383" s="1467">
        <v>1.993E-2</v>
      </c>
      <c r="N2383" s="1468">
        <v>1.6506271431040369</v>
      </c>
      <c r="O2383" s="1468"/>
    </row>
    <row r="2384" spans="11:15">
      <c r="K2384" s="1465">
        <v>44441</v>
      </c>
      <c r="L2384" s="1466" t="s">
        <v>2127</v>
      </c>
      <c r="M2384" s="1467">
        <v>1.993E-2</v>
      </c>
      <c r="N2384" s="1468">
        <v>1.6509561130936576</v>
      </c>
      <c r="O2384" s="1468"/>
    </row>
    <row r="2385" spans="11:15">
      <c r="K2385" s="1465">
        <v>44442</v>
      </c>
      <c r="L2385" s="1466" t="s">
        <v>2127</v>
      </c>
      <c r="M2385" s="1467">
        <v>1.993E-2</v>
      </c>
      <c r="N2385" s="1468">
        <v>1.6512851486469973</v>
      </c>
      <c r="O2385" s="1468"/>
    </row>
    <row r="2386" spans="11:15">
      <c r="K2386" s="1465">
        <v>44443</v>
      </c>
      <c r="L2386" s="1466"/>
      <c r="M2386" s="1467">
        <v>0</v>
      </c>
      <c r="N2386" s="1468">
        <v>1.6512851486469973</v>
      </c>
      <c r="O2386" s="1468"/>
    </row>
    <row r="2387" spans="11:15">
      <c r="K2387" s="1465">
        <v>44444</v>
      </c>
      <c r="L2387" s="1466"/>
      <c r="M2387" s="1467">
        <v>0</v>
      </c>
      <c r="N2387" s="1468">
        <v>1.6512851486469973</v>
      </c>
      <c r="O2387" s="1468"/>
    </row>
    <row r="2388" spans="11:15">
      <c r="K2388" s="1465">
        <v>44445</v>
      </c>
      <c r="L2388" s="1466" t="s">
        <v>2127</v>
      </c>
      <c r="M2388" s="1467">
        <v>1.993E-2</v>
      </c>
      <c r="N2388" s="1468">
        <v>1.6516142497771227</v>
      </c>
      <c r="O2388" s="1468"/>
    </row>
    <row r="2389" spans="11:15">
      <c r="K2389" s="1465">
        <v>44446</v>
      </c>
      <c r="L2389" s="1466"/>
      <c r="M2389" s="1467">
        <v>0</v>
      </c>
      <c r="N2389" s="1468">
        <v>1.6516142497771227</v>
      </c>
      <c r="O2389" s="1468"/>
    </row>
    <row r="2390" spans="11:15">
      <c r="K2390" s="1465">
        <v>44447</v>
      </c>
      <c r="L2390" s="1466" t="s">
        <v>2127</v>
      </c>
      <c r="M2390" s="1467">
        <v>1.993E-2</v>
      </c>
      <c r="N2390" s="1468">
        <v>1.6519434164971032</v>
      </c>
      <c r="O2390" s="1468"/>
    </row>
    <row r="2391" spans="11:15">
      <c r="K2391" s="1465">
        <v>44448</v>
      </c>
      <c r="L2391" s="1466" t="s">
        <v>2127</v>
      </c>
      <c r="M2391" s="1467">
        <v>1.993E-2</v>
      </c>
      <c r="N2391" s="1468">
        <v>1.652272648820011</v>
      </c>
      <c r="O2391" s="1468"/>
    </row>
    <row r="2392" spans="11:15">
      <c r="K2392" s="1465">
        <v>44449</v>
      </c>
      <c r="L2392" s="1466" t="s">
        <v>2127</v>
      </c>
      <c r="M2392" s="1467">
        <v>1.993E-2</v>
      </c>
      <c r="N2392" s="1468">
        <v>1.6526019467589208</v>
      </c>
      <c r="O2392" s="1468"/>
    </row>
    <row r="2393" spans="11:15">
      <c r="K2393" s="1465">
        <v>44450</v>
      </c>
      <c r="L2393" s="1466"/>
      <c r="M2393" s="1467">
        <v>0</v>
      </c>
      <c r="N2393" s="1468">
        <v>1.6526019467589208</v>
      </c>
      <c r="O2393" s="1468"/>
    </row>
    <row r="2394" spans="11:15">
      <c r="K2394" s="1465">
        <v>44451</v>
      </c>
      <c r="L2394" s="1466"/>
      <c r="M2394" s="1467">
        <v>0</v>
      </c>
      <c r="N2394" s="1468">
        <v>1.6526019467589208</v>
      </c>
      <c r="O2394" s="1468"/>
    </row>
    <row r="2395" spans="11:15">
      <c r="K2395" s="1465">
        <v>44452</v>
      </c>
      <c r="L2395" s="1466" t="s">
        <v>2127</v>
      </c>
      <c r="M2395" s="1467">
        <v>1.993E-2</v>
      </c>
      <c r="N2395" s="1468">
        <v>1.6529313103269099</v>
      </c>
      <c r="O2395" s="1468"/>
    </row>
    <row r="2396" spans="11:15">
      <c r="K2396" s="1465">
        <v>44453</v>
      </c>
      <c r="L2396" s="1466" t="s">
        <v>2127</v>
      </c>
      <c r="M2396" s="1467">
        <v>1.993E-2</v>
      </c>
      <c r="N2396" s="1468">
        <v>1.653260739537058</v>
      </c>
      <c r="O2396" s="1468"/>
    </row>
    <row r="2397" spans="11:15">
      <c r="K2397" s="1465">
        <v>44454</v>
      </c>
      <c r="L2397" s="1466" t="s">
        <v>2127</v>
      </c>
      <c r="M2397" s="1467">
        <v>1.993E-2</v>
      </c>
      <c r="N2397" s="1468">
        <v>1.6535902344024478</v>
      </c>
      <c r="O2397" s="1468"/>
    </row>
    <row r="2398" spans="11:15">
      <c r="K2398" s="1465">
        <v>44455</v>
      </c>
      <c r="L2398" s="1466" t="s">
        <v>2127</v>
      </c>
      <c r="M2398" s="1467">
        <v>1.993E-2</v>
      </c>
      <c r="N2398" s="1468">
        <v>1.6539197949361641</v>
      </c>
      <c r="O2398" s="1468"/>
    </row>
    <row r="2399" spans="11:15">
      <c r="K2399" s="1465">
        <v>44456</v>
      </c>
      <c r="L2399" s="1466" t="s">
        <v>2127</v>
      </c>
      <c r="M2399" s="1467">
        <v>1.993E-2</v>
      </c>
      <c r="N2399" s="1468">
        <v>1.654249421151295</v>
      </c>
      <c r="O2399" s="1468"/>
    </row>
    <row r="2400" spans="11:15">
      <c r="K2400" s="1465">
        <v>44457</v>
      </c>
      <c r="L2400" s="1466"/>
      <c r="M2400" s="1467">
        <v>0</v>
      </c>
      <c r="N2400" s="1468">
        <v>1.654249421151295</v>
      </c>
      <c r="O2400" s="1468"/>
    </row>
    <row r="2401" spans="11:15">
      <c r="K2401" s="1465">
        <v>44458</v>
      </c>
      <c r="L2401" s="1466"/>
      <c r="M2401" s="1467">
        <v>0</v>
      </c>
      <c r="N2401" s="1468">
        <v>1.654249421151295</v>
      </c>
      <c r="O2401" s="1468"/>
    </row>
    <row r="2402" spans="11:15">
      <c r="K2402" s="1465">
        <v>44459</v>
      </c>
      <c r="L2402" s="1466" t="s">
        <v>2127</v>
      </c>
      <c r="M2402" s="1467">
        <v>1.993E-2</v>
      </c>
      <c r="N2402" s="1468">
        <v>1.6545791130609304</v>
      </c>
      <c r="O2402" s="1468"/>
    </row>
    <row r="2403" spans="11:15">
      <c r="K2403" s="1465">
        <v>44460</v>
      </c>
      <c r="L2403" s="1466" t="s">
        <v>2127</v>
      </c>
      <c r="M2403" s="1467">
        <v>1.993E-2</v>
      </c>
      <c r="N2403" s="1468">
        <v>1.6549088706781634</v>
      </c>
      <c r="O2403" s="1468"/>
    </row>
    <row r="2404" spans="11:15">
      <c r="K2404" s="1465">
        <v>44461</v>
      </c>
      <c r="L2404" s="1466" t="s">
        <v>2127</v>
      </c>
      <c r="M2404" s="1467">
        <v>1.993E-2</v>
      </c>
      <c r="N2404" s="1468">
        <v>1.6552386940160895</v>
      </c>
      <c r="O2404" s="1468"/>
    </row>
    <row r="2405" spans="11:15">
      <c r="K2405" s="1465">
        <v>44462</v>
      </c>
      <c r="L2405" s="1466" t="s">
        <v>2127</v>
      </c>
      <c r="M2405" s="1467">
        <v>2.3687E-2</v>
      </c>
      <c r="N2405" s="1468">
        <v>1.6556307704055411</v>
      </c>
      <c r="O2405" s="1468"/>
    </row>
    <row r="2406" spans="11:15">
      <c r="K2406" s="1465">
        <v>44463</v>
      </c>
      <c r="L2406" s="1466" t="s">
        <v>2127</v>
      </c>
      <c r="M2406" s="1467">
        <v>2.3687E-2</v>
      </c>
      <c r="N2406" s="1468">
        <v>1.656022939666127</v>
      </c>
      <c r="O2406" s="1468"/>
    </row>
    <row r="2407" spans="11:15">
      <c r="K2407" s="1465">
        <v>44464</v>
      </c>
      <c r="L2407" s="1466"/>
      <c r="M2407" s="1467">
        <v>0</v>
      </c>
      <c r="N2407" s="1468">
        <v>1.656022939666127</v>
      </c>
      <c r="O2407" s="1468"/>
    </row>
    <row r="2408" spans="11:15">
      <c r="K2408" s="1465">
        <v>44465</v>
      </c>
      <c r="L2408" s="1466"/>
      <c r="M2408" s="1467">
        <v>0</v>
      </c>
      <c r="N2408" s="1468">
        <v>1.656022939666127</v>
      </c>
      <c r="O2408" s="1468"/>
    </row>
    <row r="2409" spans="11:15">
      <c r="K2409" s="1465">
        <v>44466</v>
      </c>
      <c r="L2409" s="1466" t="s">
        <v>2127</v>
      </c>
      <c r="M2409" s="1467">
        <v>2.3687E-2</v>
      </c>
      <c r="N2409" s="1468">
        <v>1.6564152018198457</v>
      </c>
      <c r="O2409" s="1468"/>
    </row>
    <row r="2410" spans="11:15">
      <c r="K2410" s="1465">
        <v>44467</v>
      </c>
      <c r="L2410" s="1466" t="s">
        <v>2127</v>
      </c>
      <c r="M2410" s="1467">
        <v>2.3687E-2</v>
      </c>
      <c r="N2410" s="1468">
        <v>1.6568075568887006</v>
      </c>
      <c r="O2410" s="1468"/>
    </row>
    <row r="2411" spans="11:15">
      <c r="K2411" s="1465">
        <v>44468</v>
      </c>
      <c r="L2411" s="1466" t="s">
        <v>2127</v>
      </c>
      <c r="M2411" s="1467">
        <v>2.3687E-2</v>
      </c>
      <c r="N2411" s="1468">
        <v>1.6572000048947009</v>
      </c>
      <c r="O2411" s="1468"/>
    </row>
    <row r="2412" spans="11:15">
      <c r="K2412" s="1465">
        <v>44469</v>
      </c>
      <c r="L2412" s="1466" t="s">
        <v>2127</v>
      </c>
      <c r="M2412" s="1467">
        <v>2.3687E-2</v>
      </c>
      <c r="N2412" s="1468">
        <v>1.6575925458598602</v>
      </c>
      <c r="O2412" s="1468"/>
    </row>
    <row r="2413" spans="11:15">
      <c r="K2413" s="1465">
        <v>44470</v>
      </c>
      <c r="L2413" s="1466" t="s">
        <v>2127</v>
      </c>
      <c r="M2413" s="1467">
        <v>2.3687E-2</v>
      </c>
      <c r="N2413" s="1468">
        <v>1.657985179806198</v>
      </c>
      <c r="O2413" s="1468"/>
    </row>
    <row r="2414" spans="11:15">
      <c r="K2414" s="1465">
        <v>44471</v>
      </c>
      <c r="L2414" s="1466"/>
      <c r="M2414" s="1467">
        <v>0</v>
      </c>
      <c r="N2414" s="1468">
        <v>1.657985179806198</v>
      </c>
      <c r="O2414" s="1468"/>
    </row>
    <row r="2415" spans="11:15">
      <c r="K2415" s="1465">
        <v>44472</v>
      </c>
      <c r="L2415" s="1466"/>
      <c r="M2415" s="1467">
        <v>0</v>
      </c>
      <c r="N2415" s="1468">
        <v>1.657985179806198</v>
      </c>
      <c r="O2415" s="1468"/>
    </row>
    <row r="2416" spans="11:15">
      <c r="K2416" s="1465">
        <v>44473</v>
      </c>
      <c r="L2416" s="1466" t="s">
        <v>2127</v>
      </c>
      <c r="M2416" s="1467">
        <v>2.3687E-2</v>
      </c>
      <c r="N2416" s="1468">
        <v>1.6583779067557385</v>
      </c>
      <c r="O2416" s="1468"/>
    </row>
    <row r="2417" spans="11:15">
      <c r="K2417" s="1465">
        <v>44474</v>
      </c>
      <c r="L2417" s="1466" t="s">
        <v>2127</v>
      </c>
      <c r="M2417" s="1467">
        <v>2.3687E-2</v>
      </c>
      <c r="N2417" s="1468">
        <v>1.6587707267305116</v>
      </c>
      <c r="O2417" s="1468"/>
    </row>
    <row r="2418" spans="11:15">
      <c r="K2418" s="1465">
        <v>44475</v>
      </c>
      <c r="L2418" s="1466" t="s">
        <v>2127</v>
      </c>
      <c r="M2418" s="1467">
        <v>2.3687E-2</v>
      </c>
      <c r="N2418" s="1468">
        <v>1.6591636397525522</v>
      </c>
      <c r="O2418" s="1468"/>
    </row>
    <row r="2419" spans="11:15">
      <c r="K2419" s="1465">
        <v>44476</v>
      </c>
      <c r="L2419" s="1466" t="s">
        <v>2127</v>
      </c>
      <c r="M2419" s="1467">
        <v>2.3687E-2</v>
      </c>
      <c r="N2419" s="1468">
        <v>1.6595566458439004</v>
      </c>
      <c r="O2419" s="1468"/>
    </row>
    <row r="2420" spans="11:15">
      <c r="K2420" s="1465">
        <v>44477</v>
      </c>
      <c r="L2420" s="1466" t="s">
        <v>2127</v>
      </c>
      <c r="M2420" s="1467">
        <v>2.3687E-2</v>
      </c>
      <c r="N2420" s="1468">
        <v>1.6599497450266014</v>
      </c>
      <c r="O2420" s="1468"/>
    </row>
    <row r="2421" spans="11:15">
      <c r="K2421" s="1465">
        <v>44478</v>
      </c>
      <c r="L2421" s="1466"/>
      <c r="M2421" s="1467">
        <v>0</v>
      </c>
      <c r="N2421" s="1468">
        <v>1.6599497450266014</v>
      </c>
      <c r="O2421" s="1468"/>
    </row>
    <row r="2422" spans="11:15">
      <c r="K2422" s="1465">
        <v>44479</v>
      </c>
      <c r="L2422" s="1466"/>
      <c r="M2422" s="1467">
        <v>0</v>
      </c>
      <c r="N2422" s="1468">
        <v>1.6599497450266014</v>
      </c>
      <c r="O2422" s="1468"/>
    </row>
    <row r="2423" spans="11:15">
      <c r="K2423" s="1465">
        <v>44480</v>
      </c>
      <c r="L2423" s="1466" t="s">
        <v>2127</v>
      </c>
      <c r="M2423" s="1467">
        <v>2.3687E-2</v>
      </c>
      <c r="N2423" s="1468">
        <v>1.6603429373227059</v>
      </c>
      <c r="O2423" s="1468"/>
    </row>
    <row r="2424" spans="11:15">
      <c r="K2424" s="1465">
        <v>44481</v>
      </c>
      <c r="L2424" s="1466"/>
      <c r="M2424" s="1467">
        <v>0</v>
      </c>
      <c r="N2424" s="1468">
        <v>1.6603429373227059</v>
      </c>
      <c r="O2424" s="1468"/>
    </row>
    <row r="2425" spans="11:15">
      <c r="K2425" s="1465">
        <v>44482</v>
      </c>
      <c r="L2425" s="1466" t="s">
        <v>2127</v>
      </c>
      <c r="M2425" s="1467">
        <v>2.3687E-2</v>
      </c>
      <c r="N2425" s="1468">
        <v>1.6607362227542695</v>
      </c>
      <c r="O2425" s="1468"/>
    </row>
    <row r="2426" spans="11:15">
      <c r="K2426" s="1465">
        <v>44483</v>
      </c>
      <c r="L2426" s="1466" t="s">
        <v>2127</v>
      </c>
      <c r="M2426" s="1467">
        <v>2.3687E-2</v>
      </c>
      <c r="N2426" s="1468">
        <v>1.6611296013433532</v>
      </c>
      <c r="O2426" s="1468"/>
    </row>
    <row r="2427" spans="11:15">
      <c r="K2427" s="1465">
        <v>44484</v>
      </c>
      <c r="L2427" s="1466" t="s">
        <v>2127</v>
      </c>
      <c r="M2427" s="1467">
        <v>2.3687E-2</v>
      </c>
      <c r="N2427" s="1468">
        <v>1.6615230731120234</v>
      </c>
      <c r="O2427" s="1468"/>
    </row>
    <row r="2428" spans="11:15">
      <c r="K2428" s="1465">
        <v>44485</v>
      </c>
      <c r="L2428" s="1466"/>
      <c r="M2428" s="1467">
        <v>0</v>
      </c>
      <c r="N2428" s="1468">
        <v>1.6615230731120234</v>
      </c>
      <c r="O2428" s="1468"/>
    </row>
    <row r="2429" spans="11:15">
      <c r="K2429" s="1465">
        <v>44486</v>
      </c>
      <c r="L2429" s="1466"/>
      <c r="M2429" s="1467">
        <v>0</v>
      </c>
      <c r="N2429" s="1468">
        <v>1.6615230731120234</v>
      </c>
      <c r="O2429" s="1468"/>
    </row>
    <row r="2430" spans="11:15">
      <c r="K2430" s="1465">
        <v>44487</v>
      </c>
      <c r="L2430" s="1466" t="s">
        <v>2127</v>
      </c>
      <c r="M2430" s="1467">
        <v>2.3687E-2</v>
      </c>
      <c r="N2430" s="1468">
        <v>1.6619166380823513</v>
      </c>
      <c r="O2430" s="1468"/>
    </row>
    <row r="2431" spans="11:15">
      <c r="K2431" s="1465">
        <v>44488</v>
      </c>
      <c r="L2431" s="1466" t="s">
        <v>2127</v>
      </c>
      <c r="M2431" s="1467">
        <v>2.3687E-2</v>
      </c>
      <c r="N2431" s="1468">
        <v>1.6623102962764138</v>
      </c>
      <c r="O2431" s="1468"/>
    </row>
    <row r="2432" spans="11:15">
      <c r="K2432" s="1465">
        <v>44489</v>
      </c>
      <c r="L2432" s="1466" t="s">
        <v>2127</v>
      </c>
      <c r="M2432" s="1467">
        <v>2.3687E-2</v>
      </c>
      <c r="N2432" s="1468">
        <v>1.6627040477162927</v>
      </c>
      <c r="O2432" s="1468"/>
    </row>
    <row r="2433" spans="11:15">
      <c r="K2433" s="1465">
        <v>44490</v>
      </c>
      <c r="L2433" s="1466" t="s">
        <v>2127</v>
      </c>
      <c r="M2433" s="1467">
        <v>2.3687E-2</v>
      </c>
      <c r="N2433" s="1468">
        <v>1.6630978924240751</v>
      </c>
      <c r="O2433" s="1468"/>
    </row>
    <row r="2434" spans="11:15">
      <c r="K2434" s="1465">
        <v>44491</v>
      </c>
      <c r="L2434" s="1466" t="s">
        <v>2127</v>
      </c>
      <c r="M2434" s="1467">
        <v>2.3687E-2</v>
      </c>
      <c r="N2434" s="1468">
        <v>1.6634918304218536</v>
      </c>
      <c r="O2434" s="1468"/>
    </row>
    <row r="2435" spans="11:15">
      <c r="K2435" s="1465">
        <v>44492</v>
      </c>
      <c r="L2435" s="1466"/>
      <c r="M2435" s="1467">
        <v>0</v>
      </c>
      <c r="N2435" s="1468">
        <v>1.6634918304218536</v>
      </c>
      <c r="O2435" s="1468"/>
    </row>
    <row r="2436" spans="11:15">
      <c r="K2436" s="1465">
        <v>44493</v>
      </c>
      <c r="L2436" s="1466"/>
      <c r="M2436" s="1467">
        <v>0</v>
      </c>
      <c r="N2436" s="1468">
        <v>1.6634918304218536</v>
      </c>
      <c r="O2436" s="1468"/>
    </row>
    <row r="2437" spans="11:15">
      <c r="K2437" s="1465">
        <v>44494</v>
      </c>
      <c r="L2437" s="1466" t="s">
        <v>2127</v>
      </c>
      <c r="M2437" s="1467">
        <v>2.3687E-2</v>
      </c>
      <c r="N2437" s="1468">
        <v>1.6638858617317256</v>
      </c>
      <c r="O2437" s="1468"/>
    </row>
    <row r="2438" spans="11:15">
      <c r="K2438" s="1465">
        <v>44495</v>
      </c>
      <c r="L2438" s="1466" t="s">
        <v>2127</v>
      </c>
      <c r="M2438" s="1467">
        <v>2.3687E-2</v>
      </c>
      <c r="N2438" s="1468">
        <v>1.664279986375794</v>
      </c>
      <c r="O2438" s="1468"/>
    </row>
    <row r="2439" spans="11:15">
      <c r="K2439" s="1465">
        <v>44496</v>
      </c>
      <c r="L2439" s="1466" t="s">
        <v>2127</v>
      </c>
      <c r="M2439" s="1467">
        <v>2.3687E-2</v>
      </c>
      <c r="N2439" s="1468">
        <v>1.6646742043761666</v>
      </c>
      <c r="O2439" s="1468"/>
    </row>
    <row r="2440" spans="11:15">
      <c r="K2440" s="1465">
        <v>44497</v>
      </c>
      <c r="L2440" s="1466" t="s">
        <v>2127</v>
      </c>
      <c r="M2440" s="1467">
        <v>2.9256000000000001E-2</v>
      </c>
      <c r="N2440" s="1468">
        <v>1.6651612214613991</v>
      </c>
      <c r="O2440" s="1468"/>
    </row>
    <row r="2441" spans="11:15">
      <c r="K2441" s="1465">
        <v>44498</v>
      </c>
      <c r="L2441" s="1466" t="s">
        <v>2127</v>
      </c>
      <c r="M2441" s="1467">
        <v>2.9256000000000001E-2</v>
      </c>
      <c r="N2441" s="1468">
        <v>1.66564838102835</v>
      </c>
      <c r="O2441" s="1468"/>
    </row>
    <row r="2442" spans="11:15">
      <c r="K2442" s="1465">
        <v>44499</v>
      </c>
      <c r="L2442" s="1466"/>
      <c r="M2442" s="1467">
        <v>0</v>
      </c>
      <c r="N2442" s="1468">
        <v>1.66564838102835</v>
      </c>
      <c r="O2442" s="1468"/>
    </row>
    <row r="2443" spans="11:15">
      <c r="K2443" s="1465">
        <v>44500</v>
      </c>
      <c r="L2443" s="1466"/>
      <c r="M2443" s="1467">
        <v>0</v>
      </c>
      <c r="N2443" s="1468">
        <v>1.66564838102835</v>
      </c>
      <c r="O2443" s="1468"/>
    </row>
    <row r="2444" spans="11:15">
      <c r="K2444" s="1465">
        <v>44501</v>
      </c>
      <c r="L2444" s="1466" t="s">
        <v>2127</v>
      </c>
      <c r="M2444" s="1467">
        <v>2.9256000000000001E-2</v>
      </c>
      <c r="N2444" s="1468">
        <v>1.6661356831187037</v>
      </c>
      <c r="O2444" s="1468"/>
    </row>
    <row r="2445" spans="11:15">
      <c r="K2445" s="1465">
        <v>44502</v>
      </c>
      <c r="L2445" s="1466"/>
      <c r="M2445" s="1467">
        <v>0</v>
      </c>
      <c r="N2445" s="1468">
        <v>1.6661356831187037</v>
      </c>
      <c r="O2445" s="1468"/>
    </row>
    <row r="2446" spans="11:15">
      <c r="K2446" s="1465">
        <v>44503</v>
      </c>
      <c r="L2446" s="1466" t="s">
        <v>2127</v>
      </c>
      <c r="M2446" s="1467">
        <v>2.9256000000000001E-2</v>
      </c>
      <c r="N2446" s="1468">
        <v>1.6666231277741572</v>
      </c>
      <c r="O2446" s="1468"/>
    </row>
    <row r="2447" spans="11:15">
      <c r="K2447" s="1465">
        <v>44504</v>
      </c>
      <c r="L2447" s="1466" t="s">
        <v>2127</v>
      </c>
      <c r="M2447" s="1467">
        <v>2.9256000000000001E-2</v>
      </c>
      <c r="N2447" s="1468">
        <v>1.6671107150364191</v>
      </c>
      <c r="O2447" s="1468"/>
    </row>
    <row r="2448" spans="11:15">
      <c r="K2448" s="1465">
        <v>44505</v>
      </c>
      <c r="L2448" s="1466" t="s">
        <v>2127</v>
      </c>
      <c r="M2448" s="1467">
        <v>2.9256000000000001E-2</v>
      </c>
      <c r="N2448" s="1468">
        <v>1.6675984449472103</v>
      </c>
      <c r="O2448" s="1468"/>
    </row>
    <row r="2449" spans="11:15">
      <c r="K2449" s="1465">
        <v>44506</v>
      </c>
      <c r="L2449" s="1466"/>
      <c r="M2449" s="1467">
        <v>0</v>
      </c>
      <c r="N2449" s="1468">
        <v>1.6675984449472103</v>
      </c>
      <c r="O2449" s="1468"/>
    </row>
    <row r="2450" spans="11:15">
      <c r="K2450" s="1465">
        <v>44507</v>
      </c>
      <c r="L2450" s="1466"/>
      <c r="M2450" s="1467">
        <v>0</v>
      </c>
      <c r="N2450" s="1468">
        <v>1.6675984449472103</v>
      </c>
      <c r="O2450" s="1468"/>
    </row>
    <row r="2451" spans="11:15">
      <c r="K2451" s="1465">
        <v>44508</v>
      </c>
      <c r="L2451" s="1466" t="s">
        <v>2127</v>
      </c>
      <c r="M2451" s="1467">
        <v>2.9256000000000001E-2</v>
      </c>
      <c r="N2451" s="1468">
        <v>1.6680863175482643</v>
      </c>
      <c r="O2451" s="1468"/>
    </row>
    <row r="2452" spans="11:15">
      <c r="K2452" s="1465">
        <v>44509</v>
      </c>
      <c r="L2452" s="1466" t="s">
        <v>2127</v>
      </c>
      <c r="M2452" s="1467">
        <v>2.9256000000000001E-2</v>
      </c>
      <c r="N2452" s="1468">
        <v>1.6685743328813265</v>
      </c>
      <c r="O2452" s="1468"/>
    </row>
    <row r="2453" spans="11:15">
      <c r="K2453" s="1465">
        <v>44510</v>
      </c>
      <c r="L2453" s="1466" t="s">
        <v>2127</v>
      </c>
      <c r="M2453" s="1467">
        <v>2.9256000000000001E-2</v>
      </c>
      <c r="N2453" s="1468">
        <v>1.6690624909881544</v>
      </c>
      <c r="O2453" s="1468"/>
    </row>
    <row r="2454" spans="11:15">
      <c r="K2454" s="1465">
        <v>44511</v>
      </c>
      <c r="L2454" s="1466" t="s">
        <v>2127</v>
      </c>
      <c r="M2454" s="1467">
        <v>2.9256000000000001E-2</v>
      </c>
      <c r="N2454" s="1468">
        <v>1.6695507919105181</v>
      </c>
      <c r="O2454" s="1468"/>
    </row>
    <row r="2455" spans="11:15">
      <c r="K2455" s="1465">
        <v>44512</v>
      </c>
      <c r="L2455" s="1466" t="s">
        <v>2127</v>
      </c>
      <c r="M2455" s="1467">
        <v>2.9256000000000001E-2</v>
      </c>
      <c r="N2455" s="1468">
        <v>1.6700392356901996</v>
      </c>
      <c r="O2455" s="1468"/>
    </row>
    <row r="2456" spans="11:15">
      <c r="K2456" s="1465">
        <v>44513</v>
      </c>
      <c r="L2456" s="1466"/>
      <c r="M2456" s="1467">
        <v>0</v>
      </c>
      <c r="N2456" s="1468">
        <v>1.6700392356901996</v>
      </c>
      <c r="O2456" s="1468"/>
    </row>
    <row r="2457" spans="11:15">
      <c r="K2457" s="1465">
        <v>44514</v>
      </c>
      <c r="L2457" s="1466"/>
      <c r="M2457" s="1467">
        <v>0</v>
      </c>
      <c r="N2457" s="1468">
        <v>1.6700392356901996</v>
      </c>
      <c r="O2457" s="1468"/>
    </row>
    <row r="2458" spans="11:15">
      <c r="K2458" s="1465">
        <v>44515</v>
      </c>
      <c r="L2458" s="1466"/>
      <c r="M2458" s="1467">
        <v>0</v>
      </c>
      <c r="N2458" s="1468">
        <v>1.6700392356901996</v>
      </c>
      <c r="O2458" s="1468"/>
    </row>
    <row r="2459" spans="11:15">
      <c r="K2459" s="1465">
        <v>44516</v>
      </c>
      <c r="L2459" s="1466" t="s">
        <v>2127</v>
      </c>
      <c r="M2459" s="1467">
        <v>2.9256000000000001E-2</v>
      </c>
      <c r="N2459" s="1468">
        <v>1.6705278223689934</v>
      </c>
      <c r="O2459" s="1468"/>
    </row>
    <row r="2460" spans="11:15">
      <c r="K2460" s="1465">
        <v>44517</v>
      </c>
      <c r="L2460" s="1466" t="s">
        <v>2127</v>
      </c>
      <c r="M2460" s="1467">
        <v>2.9256000000000001E-2</v>
      </c>
      <c r="N2460" s="1468">
        <v>1.6710165519887059</v>
      </c>
      <c r="O2460" s="1468"/>
    </row>
    <row r="2461" spans="11:15">
      <c r="K2461" s="1465">
        <v>44518</v>
      </c>
      <c r="L2461" s="1466" t="s">
        <v>2127</v>
      </c>
      <c r="M2461" s="1467">
        <v>2.9256000000000001E-2</v>
      </c>
      <c r="N2461" s="1468">
        <v>1.6715054245911558</v>
      </c>
      <c r="O2461" s="1468"/>
    </row>
    <row r="2462" spans="11:15">
      <c r="K2462" s="1465">
        <v>44519</v>
      </c>
      <c r="L2462" s="1466" t="s">
        <v>2127</v>
      </c>
      <c r="M2462" s="1467">
        <v>2.9256000000000001E-2</v>
      </c>
      <c r="N2462" s="1468">
        <v>1.6719944402181743</v>
      </c>
      <c r="O2462" s="1468"/>
    </row>
    <row r="2463" spans="11:15">
      <c r="K2463" s="1465">
        <v>44520</v>
      </c>
      <c r="L2463" s="1466"/>
      <c r="M2463" s="1467">
        <v>0</v>
      </c>
      <c r="N2463" s="1468">
        <v>1.6719944402181743</v>
      </c>
      <c r="O2463" s="1468"/>
    </row>
    <row r="2464" spans="11:15">
      <c r="K2464" s="1465">
        <v>44521</v>
      </c>
      <c r="L2464" s="1466"/>
      <c r="M2464" s="1467">
        <v>0</v>
      </c>
      <c r="N2464" s="1468">
        <v>1.6719944402181743</v>
      </c>
      <c r="O2464" s="1468"/>
    </row>
    <row r="2465" spans="11:15">
      <c r="K2465" s="1465">
        <v>44522</v>
      </c>
      <c r="L2465" s="1466" t="s">
        <v>2127</v>
      </c>
      <c r="M2465" s="1467">
        <v>2.9256000000000001E-2</v>
      </c>
      <c r="N2465" s="1468">
        <v>1.6724835989116047</v>
      </c>
      <c r="O2465" s="1468"/>
    </row>
    <row r="2466" spans="11:15">
      <c r="K2466" s="1465">
        <v>44523</v>
      </c>
      <c r="L2466" s="1466" t="s">
        <v>2127</v>
      </c>
      <c r="M2466" s="1467">
        <v>2.9256000000000001E-2</v>
      </c>
      <c r="N2466" s="1468">
        <v>1.6729729007133025</v>
      </c>
      <c r="O2466" s="1468"/>
    </row>
    <row r="2467" spans="11:15">
      <c r="K2467" s="1465">
        <v>44524</v>
      </c>
      <c r="L2467" s="1466" t="s">
        <v>2127</v>
      </c>
      <c r="M2467" s="1467">
        <v>2.9256000000000001E-2</v>
      </c>
      <c r="N2467" s="1468">
        <v>1.6734623456651354</v>
      </c>
      <c r="O2467" s="1468"/>
    </row>
    <row r="2468" spans="11:15">
      <c r="K2468" s="1465">
        <v>44525</v>
      </c>
      <c r="L2468" s="1466" t="s">
        <v>2127</v>
      </c>
      <c r="M2468" s="1467">
        <v>2.9256000000000001E-2</v>
      </c>
      <c r="N2468" s="1468">
        <v>1.6739519338089834</v>
      </c>
      <c r="O2468" s="1468"/>
    </row>
    <row r="2469" spans="11:15">
      <c r="K2469" s="1465">
        <v>44526</v>
      </c>
      <c r="L2469" s="1466" t="s">
        <v>2127</v>
      </c>
      <c r="M2469" s="1467">
        <v>2.9256000000000001E-2</v>
      </c>
      <c r="N2469" s="1468">
        <v>1.6744416651867389</v>
      </c>
      <c r="O2469" s="1468"/>
    </row>
    <row r="2470" spans="11:15">
      <c r="K2470" s="1465">
        <v>44527</v>
      </c>
      <c r="L2470" s="1466"/>
      <c r="M2470" s="1467">
        <v>0</v>
      </c>
      <c r="N2470" s="1468">
        <v>1.6744416651867389</v>
      </c>
      <c r="O2470" s="1468"/>
    </row>
    <row r="2471" spans="11:15">
      <c r="K2471" s="1465">
        <v>44528</v>
      </c>
      <c r="L2471" s="1466"/>
      <c r="M2471" s="1467">
        <v>0</v>
      </c>
      <c r="N2471" s="1468">
        <v>1.6744416651867389</v>
      </c>
      <c r="O2471" s="1468"/>
    </row>
    <row r="2472" spans="11:15">
      <c r="K2472" s="1465">
        <v>44529</v>
      </c>
      <c r="L2472" s="1466" t="s">
        <v>2127</v>
      </c>
      <c r="M2472" s="1467">
        <v>2.9256000000000001E-2</v>
      </c>
      <c r="N2472" s="1468">
        <v>1.6749315398403062</v>
      </c>
      <c r="O2472" s="1468"/>
    </row>
    <row r="2473" spans="11:15">
      <c r="K2473" s="1465">
        <v>44530</v>
      </c>
      <c r="L2473" s="1466" t="s">
        <v>2127</v>
      </c>
      <c r="M2473" s="1467">
        <v>2.9256000000000001E-2</v>
      </c>
      <c r="N2473" s="1468">
        <v>1.6754215578116021</v>
      </c>
      <c r="O2473" s="1468"/>
    </row>
    <row r="2474" spans="11:15">
      <c r="K2474" s="1465">
        <v>44531</v>
      </c>
      <c r="L2474" s="1466" t="s">
        <v>2127</v>
      </c>
      <c r="M2474" s="1467">
        <v>2.9256000000000001E-2</v>
      </c>
      <c r="N2474" s="1468">
        <v>1.6759117191425557</v>
      </c>
      <c r="O2474" s="1468"/>
    </row>
    <row r="2475" spans="11:15">
      <c r="K2475" s="1465">
        <v>44532</v>
      </c>
      <c r="L2475" s="1466" t="s">
        <v>2127</v>
      </c>
      <c r="M2475" s="1467">
        <v>2.9256000000000001E-2</v>
      </c>
      <c r="N2475" s="1468">
        <v>1.6764020238751083</v>
      </c>
      <c r="O2475" s="1468"/>
    </row>
    <row r="2476" spans="11:15">
      <c r="K2476" s="1465">
        <v>44533</v>
      </c>
      <c r="L2476" s="1466" t="s">
        <v>2127</v>
      </c>
      <c r="M2476" s="1467">
        <v>2.9256000000000001E-2</v>
      </c>
      <c r="N2476" s="1468">
        <v>1.6768924720512133</v>
      </c>
      <c r="O2476" s="1468"/>
    </row>
    <row r="2477" spans="11:15">
      <c r="K2477" s="1465">
        <v>44534</v>
      </c>
      <c r="L2477" s="1466"/>
      <c r="M2477" s="1467">
        <v>0</v>
      </c>
      <c r="N2477" s="1468">
        <v>1.6768924720512133</v>
      </c>
      <c r="O2477" s="1468"/>
    </row>
    <row r="2478" spans="11:15">
      <c r="K2478" s="1465">
        <v>44535</v>
      </c>
      <c r="L2478" s="1466"/>
      <c r="M2478" s="1467">
        <v>0</v>
      </c>
      <c r="N2478" s="1468">
        <v>1.6768924720512133</v>
      </c>
      <c r="O2478" s="1468"/>
    </row>
    <row r="2479" spans="11:15">
      <c r="K2479" s="1465">
        <v>44536</v>
      </c>
      <c r="L2479" s="1466" t="s">
        <v>2127</v>
      </c>
      <c r="M2479" s="1467">
        <v>2.9256000000000001E-2</v>
      </c>
      <c r="N2479" s="1468">
        <v>1.6773830637128369</v>
      </c>
      <c r="O2479" s="1468"/>
    </row>
    <row r="2480" spans="11:15">
      <c r="K2480" s="1465">
        <v>44537</v>
      </c>
      <c r="L2480" s="1466" t="s">
        <v>2127</v>
      </c>
      <c r="M2480" s="1467">
        <v>2.9256000000000001E-2</v>
      </c>
      <c r="N2480" s="1468">
        <v>1.6778737989019568</v>
      </c>
      <c r="O2480" s="1468"/>
    </row>
    <row r="2481" spans="11:15">
      <c r="K2481" s="1465">
        <v>44538</v>
      </c>
      <c r="L2481" s="1466" t="s">
        <v>2127</v>
      </c>
      <c r="M2481" s="1467">
        <v>2.9256000000000001E-2</v>
      </c>
      <c r="N2481" s="1468">
        <v>1.6783646776605636</v>
      </c>
      <c r="O2481" s="1468"/>
    </row>
    <row r="2482" spans="11:15">
      <c r="K2482" s="1465">
        <v>44539</v>
      </c>
      <c r="L2482" s="1466" t="s">
        <v>2127</v>
      </c>
      <c r="M2482" s="1467">
        <v>3.4749000000000002E-2</v>
      </c>
      <c r="N2482" s="1468">
        <v>1.678947892602404</v>
      </c>
      <c r="O2482" s="1468"/>
    </row>
    <row r="2483" spans="11:15">
      <c r="K2483" s="1465">
        <v>44540</v>
      </c>
      <c r="L2483" s="1466" t="s">
        <v>2127</v>
      </c>
      <c r="M2483" s="1467">
        <v>3.4749000000000002E-2</v>
      </c>
      <c r="N2483" s="1468">
        <v>1.6795313102056044</v>
      </c>
      <c r="O2483" s="1468"/>
    </row>
    <row r="2484" spans="11:15">
      <c r="K2484" s="1465">
        <v>44541</v>
      </c>
      <c r="L2484" s="1466"/>
      <c r="M2484" s="1467">
        <v>0</v>
      </c>
      <c r="N2484" s="1468">
        <v>1.6795313102056044</v>
      </c>
      <c r="O2484" s="1468"/>
    </row>
    <row r="2485" spans="11:15">
      <c r="K2485" s="1465">
        <v>44542</v>
      </c>
      <c r="L2485" s="1466"/>
      <c r="M2485" s="1467">
        <v>0</v>
      </c>
      <c r="N2485" s="1468">
        <v>1.6795313102056044</v>
      </c>
      <c r="O2485" s="1468"/>
    </row>
    <row r="2486" spans="11:15">
      <c r="K2486" s="1465">
        <v>44543</v>
      </c>
      <c r="L2486" s="1466" t="s">
        <v>2127</v>
      </c>
      <c r="M2486" s="1467">
        <v>3.4749000000000002E-2</v>
      </c>
      <c r="N2486" s="1468">
        <v>1.6801149305405878</v>
      </c>
      <c r="O2486" s="1468"/>
    </row>
    <row r="2487" spans="11:15">
      <c r="K2487" s="1465">
        <v>44544</v>
      </c>
      <c r="L2487" s="1466" t="s">
        <v>2127</v>
      </c>
      <c r="M2487" s="1467">
        <v>3.4749000000000002E-2</v>
      </c>
      <c r="N2487" s="1468">
        <v>1.6806987536778013</v>
      </c>
      <c r="O2487" s="1468"/>
    </row>
    <row r="2488" spans="11:15">
      <c r="K2488" s="1465">
        <v>44545</v>
      </c>
      <c r="L2488" s="1466" t="s">
        <v>2127</v>
      </c>
      <c r="M2488" s="1467">
        <v>3.4749000000000002E-2</v>
      </c>
      <c r="N2488" s="1468">
        <v>1.6812827796877168</v>
      </c>
      <c r="O2488" s="1468"/>
    </row>
    <row r="2489" spans="11:15">
      <c r="K2489" s="1465">
        <v>44546</v>
      </c>
      <c r="L2489" s="1466" t="s">
        <v>2127</v>
      </c>
      <c r="M2489" s="1467">
        <v>3.4749000000000002E-2</v>
      </c>
      <c r="N2489" s="1468">
        <v>1.6818670086408305</v>
      </c>
      <c r="O2489" s="1468"/>
    </row>
    <row r="2490" spans="11:15">
      <c r="K2490" s="1465">
        <v>44547</v>
      </c>
      <c r="L2490" s="1466" t="s">
        <v>2127</v>
      </c>
      <c r="M2490" s="1467">
        <v>3.4749000000000002E-2</v>
      </c>
      <c r="N2490" s="1468">
        <v>1.6824514406076632</v>
      </c>
      <c r="O2490" s="1468"/>
    </row>
    <row r="2491" spans="11:15">
      <c r="K2491" s="1465">
        <v>44548</v>
      </c>
      <c r="L2491" s="1466"/>
      <c r="M2491" s="1467">
        <v>0</v>
      </c>
      <c r="N2491" s="1468">
        <v>1.6824514406076632</v>
      </c>
      <c r="O2491" s="1468"/>
    </row>
    <row r="2492" spans="11:15">
      <c r="K2492" s="1465">
        <v>44549</v>
      </c>
      <c r="L2492" s="1466"/>
      <c r="M2492" s="1467">
        <v>0</v>
      </c>
      <c r="N2492" s="1468">
        <v>1.6824514406076632</v>
      </c>
      <c r="O2492" s="1468"/>
    </row>
    <row r="2493" spans="11:15">
      <c r="K2493" s="1465">
        <v>44550</v>
      </c>
      <c r="L2493" s="1466" t="s">
        <v>2127</v>
      </c>
      <c r="M2493" s="1467">
        <v>3.4749000000000002E-2</v>
      </c>
      <c r="N2493" s="1468">
        <v>1.6830360756587599</v>
      </c>
      <c r="O2493" s="1468"/>
    </row>
    <row r="2494" spans="11:15">
      <c r="K2494" s="1465">
        <v>44551</v>
      </c>
      <c r="L2494" s="1466" t="s">
        <v>2127</v>
      </c>
      <c r="M2494" s="1467">
        <v>3.4749000000000002E-2</v>
      </c>
      <c r="N2494" s="1468">
        <v>1.6836209138646905</v>
      </c>
      <c r="O2494" s="1468"/>
    </row>
    <row r="2495" spans="11:15">
      <c r="K2495" s="1465">
        <v>44552</v>
      </c>
      <c r="L2495" s="1466" t="s">
        <v>2127</v>
      </c>
      <c r="M2495" s="1467">
        <v>3.4749000000000002E-2</v>
      </c>
      <c r="N2495" s="1468">
        <v>1.6842059552960493</v>
      </c>
      <c r="O2495" s="1468"/>
    </row>
    <row r="2496" spans="11:15">
      <c r="K2496" s="1465">
        <v>44553</v>
      </c>
      <c r="L2496" s="1466" t="s">
        <v>2127</v>
      </c>
      <c r="M2496" s="1467">
        <v>3.4749000000000002E-2</v>
      </c>
      <c r="N2496" s="1468">
        <v>1.6847912000234551</v>
      </c>
      <c r="O2496" s="1468"/>
    </row>
    <row r="2497" spans="11:15">
      <c r="K2497" s="1465">
        <v>44554</v>
      </c>
      <c r="L2497" s="1466" t="s">
        <v>2127</v>
      </c>
      <c r="M2497" s="1467">
        <v>3.4749000000000002E-2</v>
      </c>
      <c r="N2497" s="1468">
        <v>1.6853766481175512</v>
      </c>
      <c r="O2497" s="1468"/>
    </row>
    <row r="2498" spans="11:15">
      <c r="K2498" s="1465">
        <v>44555</v>
      </c>
      <c r="L2498" s="1466"/>
      <c r="M2498" s="1467">
        <v>0</v>
      </c>
      <c r="N2498" s="1468">
        <v>1.6853766481175512</v>
      </c>
      <c r="O2498" s="1468"/>
    </row>
    <row r="2499" spans="11:15">
      <c r="K2499" s="1465">
        <v>44556</v>
      </c>
      <c r="L2499" s="1466"/>
      <c r="M2499" s="1467">
        <v>0</v>
      </c>
      <c r="N2499" s="1468">
        <v>1.6853766481175512</v>
      </c>
      <c r="O2499" s="1468"/>
    </row>
    <row r="2500" spans="11:15">
      <c r="K2500" s="1465">
        <v>44557</v>
      </c>
      <c r="L2500" s="1466" t="s">
        <v>2127</v>
      </c>
      <c r="M2500" s="1467">
        <v>3.4749000000000002E-2</v>
      </c>
      <c r="N2500" s="1468">
        <v>1.6859622996490056</v>
      </c>
      <c r="O2500" s="1468"/>
    </row>
    <row r="2501" spans="11:15">
      <c r="K2501" s="1465">
        <v>44558</v>
      </c>
      <c r="L2501" s="1466" t="s">
        <v>2127</v>
      </c>
      <c r="M2501" s="1467">
        <v>3.4749000000000002E-2</v>
      </c>
      <c r="N2501" s="1468">
        <v>1.6865481546885106</v>
      </c>
      <c r="O2501" s="1468"/>
    </row>
    <row r="2502" spans="11:15">
      <c r="K2502" s="1465">
        <v>44559</v>
      </c>
      <c r="L2502" s="1466" t="s">
        <v>2127</v>
      </c>
      <c r="M2502" s="1467">
        <v>3.4749000000000002E-2</v>
      </c>
      <c r="N2502" s="1468">
        <v>1.6871342133067833</v>
      </c>
      <c r="O2502" s="1468"/>
    </row>
    <row r="2503" spans="11:15">
      <c r="K2503" s="1465">
        <v>44560</v>
      </c>
      <c r="L2503" s="1466" t="s">
        <v>2127</v>
      </c>
      <c r="M2503" s="1467">
        <v>3.4749000000000002E-2</v>
      </c>
      <c r="N2503" s="1468">
        <v>1.6877204755745652</v>
      </c>
      <c r="O2503" s="1468"/>
    </row>
    <row r="2504" spans="11:15">
      <c r="K2504" s="1465">
        <v>44561</v>
      </c>
      <c r="L2504" s="1466" t="s">
        <v>2127</v>
      </c>
      <c r="M2504" s="1467">
        <v>3.4749000000000002E-2</v>
      </c>
      <c r="N2504" s="1468">
        <v>1.6883069415626226</v>
      </c>
      <c r="O2504" s="1468"/>
    </row>
    <row r="2505" spans="11:15">
      <c r="K2505" s="1465">
        <v>44562</v>
      </c>
      <c r="L2505" s="1466"/>
      <c r="M2505" s="1467">
        <v>0</v>
      </c>
      <c r="N2505" s="1468">
        <v>1.6883069415626226</v>
      </c>
      <c r="O2505" s="1468"/>
    </row>
    <row r="2506" spans="11:15">
      <c r="K2506" s="1465">
        <v>44563</v>
      </c>
      <c r="L2506" s="1466"/>
      <c r="M2506" s="1467">
        <v>0</v>
      </c>
      <c r="N2506" s="1468">
        <v>1.6883069415626226</v>
      </c>
      <c r="O2506" s="1468"/>
    </row>
    <row r="2507" spans="11:15">
      <c r="K2507" s="1465">
        <v>44564</v>
      </c>
      <c r="L2507" s="1466" t="s">
        <v>2127</v>
      </c>
      <c r="M2507" s="1467">
        <v>3.4749000000000002E-2</v>
      </c>
      <c r="N2507" s="1468">
        <v>1.6888936113417463</v>
      </c>
      <c r="O2507" s="1468"/>
    </row>
    <row r="2508" spans="11:15">
      <c r="K2508" s="1465">
        <v>44565</v>
      </c>
      <c r="L2508" s="1466" t="s">
        <v>2127</v>
      </c>
      <c r="M2508" s="1467">
        <v>3.4749000000000002E-2</v>
      </c>
      <c r="N2508" s="1468">
        <v>1.6894804849827514</v>
      </c>
      <c r="O2508" s="1468"/>
    </row>
    <row r="2509" spans="11:15">
      <c r="K2509" s="1465">
        <v>44566</v>
      </c>
      <c r="L2509" s="1466" t="s">
        <v>2127</v>
      </c>
      <c r="M2509" s="1467">
        <v>3.4749000000000002E-2</v>
      </c>
      <c r="N2509" s="1468">
        <v>1.6900675625564781</v>
      </c>
      <c r="O2509" s="1468"/>
    </row>
    <row r="2510" spans="11:15">
      <c r="K2510" s="1465">
        <v>44567</v>
      </c>
      <c r="L2510" s="1466" t="s">
        <v>2127</v>
      </c>
      <c r="M2510" s="1467">
        <v>3.4749000000000002E-2</v>
      </c>
      <c r="N2510" s="1468">
        <v>1.6906548441337907</v>
      </c>
      <c r="O2510" s="1468"/>
    </row>
    <row r="2511" spans="11:15">
      <c r="K2511" s="1465">
        <v>44568</v>
      </c>
      <c r="L2511" s="1466" t="s">
        <v>2127</v>
      </c>
      <c r="M2511" s="1467">
        <v>3.4749000000000002E-2</v>
      </c>
      <c r="N2511" s="1468">
        <v>1.6912423297855788</v>
      </c>
      <c r="O2511" s="1468"/>
    </row>
    <row r="2512" spans="11:15">
      <c r="K2512" s="1465">
        <v>44569</v>
      </c>
      <c r="L2512" s="1466"/>
      <c r="M2512" s="1467">
        <v>0</v>
      </c>
      <c r="N2512" s="1468">
        <v>1.6912423297855788</v>
      </c>
      <c r="O2512" s="1468"/>
    </row>
    <row r="2513" spans="11:15">
      <c r="K2513" s="1465">
        <v>44570</v>
      </c>
      <c r="L2513" s="1466"/>
      <c r="M2513" s="1467">
        <v>0</v>
      </c>
      <c r="N2513" s="1468">
        <v>1.6912423297855788</v>
      </c>
      <c r="O2513" s="1468"/>
    </row>
    <row r="2514" spans="11:15">
      <c r="K2514" s="1465">
        <v>44571</v>
      </c>
      <c r="L2514" s="1466" t="s">
        <v>2127</v>
      </c>
      <c r="M2514" s="1467">
        <v>3.4749000000000002E-2</v>
      </c>
      <c r="N2514" s="1468">
        <v>1.691830019582756</v>
      </c>
      <c r="O2514" s="1468"/>
    </row>
    <row r="2515" spans="11:15">
      <c r="K2515" s="1465">
        <v>44572</v>
      </c>
      <c r="L2515" s="1466" t="s">
        <v>2127</v>
      </c>
      <c r="M2515" s="1467">
        <v>3.4749000000000002E-2</v>
      </c>
      <c r="N2515" s="1468">
        <v>1.6924179135962609</v>
      </c>
      <c r="O2515" s="1468"/>
    </row>
    <row r="2516" spans="11:15">
      <c r="K2516" s="1465">
        <v>44573</v>
      </c>
      <c r="L2516" s="1466" t="s">
        <v>2127</v>
      </c>
      <c r="M2516" s="1467">
        <v>3.4749000000000002E-2</v>
      </c>
      <c r="N2516" s="1468">
        <v>1.6930060118970565</v>
      </c>
      <c r="O2516" s="1468"/>
    </row>
    <row r="2517" spans="11:15">
      <c r="K2517" s="1465">
        <v>44574</v>
      </c>
      <c r="L2517" s="1466" t="s">
        <v>2127</v>
      </c>
      <c r="M2517" s="1467">
        <v>3.4749000000000002E-2</v>
      </c>
      <c r="N2517" s="1468">
        <v>1.6935943145561305</v>
      </c>
      <c r="O2517" s="1468"/>
    </row>
    <row r="2518" spans="11:15">
      <c r="K2518" s="1465">
        <v>44575</v>
      </c>
      <c r="L2518" s="1466" t="s">
        <v>2127</v>
      </c>
      <c r="M2518" s="1467">
        <v>3.4749000000000002E-2</v>
      </c>
      <c r="N2518" s="1468">
        <v>1.6941828216444956</v>
      </c>
      <c r="O2518" s="1468"/>
    </row>
    <row r="2519" spans="11:15">
      <c r="K2519" s="1465">
        <v>44576</v>
      </c>
      <c r="L2519" s="1466"/>
      <c r="M2519" s="1467">
        <v>0</v>
      </c>
      <c r="N2519" s="1468">
        <v>1.6941828216444956</v>
      </c>
      <c r="O2519" s="1468"/>
    </row>
    <row r="2520" spans="11:15">
      <c r="K2520" s="1465">
        <v>44577</v>
      </c>
      <c r="L2520" s="1466"/>
      <c r="M2520" s="1467">
        <v>0</v>
      </c>
      <c r="N2520" s="1468">
        <v>1.6941828216444956</v>
      </c>
      <c r="O2520" s="1468"/>
    </row>
    <row r="2521" spans="11:15">
      <c r="K2521" s="1465">
        <v>44578</v>
      </c>
      <c r="L2521" s="1466" t="s">
        <v>2127</v>
      </c>
      <c r="M2521" s="1467">
        <v>3.4749000000000002E-2</v>
      </c>
      <c r="N2521" s="1468">
        <v>1.694771533233189</v>
      </c>
      <c r="O2521" s="1468"/>
    </row>
    <row r="2522" spans="11:15">
      <c r="K2522" s="1465">
        <v>44579</v>
      </c>
      <c r="L2522" s="1466" t="s">
        <v>2127</v>
      </c>
      <c r="M2522" s="1467">
        <v>3.4749000000000002E-2</v>
      </c>
      <c r="N2522" s="1468">
        <v>1.6953604493932721</v>
      </c>
      <c r="O2522" s="1468"/>
    </row>
    <row r="2523" spans="11:15">
      <c r="K2523" s="1465">
        <v>44580</v>
      </c>
      <c r="L2523" s="1466" t="s">
        <v>2127</v>
      </c>
      <c r="M2523" s="1467">
        <v>3.4749000000000002E-2</v>
      </c>
      <c r="N2523" s="1468">
        <v>1.6959495701958318</v>
      </c>
      <c r="O2523" s="1468"/>
    </row>
    <row r="2524" spans="11:15">
      <c r="K2524" s="1465">
        <v>44581</v>
      </c>
      <c r="L2524" s="1466" t="s">
        <v>2127</v>
      </c>
      <c r="M2524" s="1467">
        <v>3.4749000000000002E-2</v>
      </c>
      <c r="N2524" s="1468">
        <v>1.6965388957119791</v>
      </c>
      <c r="O2524" s="1468"/>
    </row>
    <row r="2525" spans="11:15">
      <c r="K2525" s="1465">
        <v>44582</v>
      </c>
      <c r="L2525" s="1466" t="s">
        <v>2127</v>
      </c>
      <c r="M2525" s="1467">
        <v>3.4749000000000002E-2</v>
      </c>
      <c r="N2525" s="1468">
        <v>1.6971284260128501</v>
      </c>
      <c r="O2525" s="1468"/>
    </row>
    <row r="2526" spans="11:15">
      <c r="K2526" s="1465">
        <v>44583</v>
      </c>
      <c r="L2526" s="1466"/>
      <c r="M2526" s="1467">
        <v>0</v>
      </c>
      <c r="N2526" s="1468">
        <v>1.6971284260128501</v>
      </c>
      <c r="O2526" s="1468"/>
    </row>
    <row r="2527" spans="11:15">
      <c r="K2527" s="1465">
        <v>44584</v>
      </c>
      <c r="L2527" s="1466"/>
      <c r="M2527" s="1467">
        <v>0</v>
      </c>
      <c r="N2527" s="1468">
        <v>1.6971284260128501</v>
      </c>
      <c r="O2527" s="1468"/>
    </row>
    <row r="2528" spans="11:15">
      <c r="K2528" s="1465">
        <v>44585</v>
      </c>
      <c r="L2528" s="1466" t="s">
        <v>2127</v>
      </c>
      <c r="M2528" s="1467">
        <v>3.4749000000000002E-2</v>
      </c>
      <c r="N2528" s="1468">
        <v>1.6977181611696053</v>
      </c>
      <c r="O2528" s="1468"/>
    </row>
    <row r="2529" spans="11:15">
      <c r="K2529" s="1465">
        <v>44586</v>
      </c>
      <c r="L2529" s="1466" t="s">
        <v>2127</v>
      </c>
      <c r="M2529" s="1467">
        <v>3.4749000000000002E-2</v>
      </c>
      <c r="N2529" s="1468">
        <v>1.69830810125343</v>
      </c>
      <c r="O2529" s="1468"/>
    </row>
    <row r="2530" spans="11:15">
      <c r="K2530" s="1465">
        <v>44587</v>
      </c>
      <c r="L2530" s="1466" t="s">
        <v>2127</v>
      </c>
      <c r="M2530" s="1467">
        <v>3.4749000000000002E-2</v>
      </c>
      <c r="N2530" s="1468">
        <v>1.6988982463355347</v>
      </c>
      <c r="O2530" s="1468"/>
    </row>
    <row r="2531" spans="11:15">
      <c r="K2531" s="1465">
        <v>44588</v>
      </c>
      <c r="L2531" s="1466" t="s">
        <v>2127</v>
      </c>
      <c r="M2531" s="1467">
        <v>3.4749000000000002E-2</v>
      </c>
      <c r="N2531" s="1468">
        <v>1.6994885964871538</v>
      </c>
      <c r="O2531" s="1468"/>
    </row>
    <row r="2532" spans="11:15">
      <c r="K2532" s="1465">
        <v>44589</v>
      </c>
      <c r="L2532" s="1466" t="s">
        <v>2127</v>
      </c>
      <c r="M2532" s="1467">
        <v>3.4749000000000002E-2</v>
      </c>
      <c r="N2532" s="1468">
        <v>1.700079151779547</v>
      </c>
      <c r="O2532" s="1468"/>
    </row>
    <row r="2533" spans="11:15">
      <c r="K2533" s="1465">
        <v>44590</v>
      </c>
      <c r="L2533" s="1466"/>
      <c r="M2533" s="1467">
        <v>0</v>
      </c>
      <c r="N2533" s="1468">
        <v>1.700079151779547</v>
      </c>
      <c r="O2533" s="1468"/>
    </row>
    <row r="2534" spans="11:15">
      <c r="K2534" s="1465">
        <v>44591</v>
      </c>
      <c r="L2534" s="1466"/>
      <c r="M2534" s="1467">
        <v>0</v>
      </c>
      <c r="N2534" s="1468">
        <v>1.700079151779547</v>
      </c>
      <c r="O2534" s="1468"/>
    </row>
    <row r="2535" spans="11:15">
      <c r="K2535" s="1465">
        <v>44592</v>
      </c>
      <c r="L2535" s="1466" t="s">
        <v>2127</v>
      </c>
      <c r="M2535" s="1467">
        <v>3.4749000000000002E-2</v>
      </c>
      <c r="N2535" s="1468">
        <v>1.700669912283999</v>
      </c>
      <c r="O2535" s="1468"/>
    </row>
    <row r="2536" spans="11:15">
      <c r="K2536" s="1465">
        <v>44593</v>
      </c>
      <c r="L2536" s="1466" t="s">
        <v>2127</v>
      </c>
      <c r="M2536" s="1467">
        <v>3.4749000000000002E-2</v>
      </c>
      <c r="N2536" s="1468">
        <v>1.7012608780718186</v>
      </c>
      <c r="O2536" s="1468"/>
    </row>
    <row r="2537" spans="11:15">
      <c r="K2537" s="1465">
        <v>44594</v>
      </c>
      <c r="L2537" s="1466" t="s">
        <v>2127</v>
      </c>
      <c r="M2537" s="1467">
        <v>3.4749000000000002E-2</v>
      </c>
      <c r="N2537" s="1468">
        <v>1.7018520492143399</v>
      </c>
      <c r="O2537" s="1468"/>
    </row>
    <row r="2538" spans="11:15">
      <c r="K2538" s="1465">
        <v>44595</v>
      </c>
      <c r="L2538" s="1466" t="s">
        <v>2127</v>
      </c>
      <c r="M2538" s="1467">
        <v>4.0168000000000002E-2</v>
      </c>
      <c r="N2538" s="1468">
        <v>1.7025356491454682</v>
      </c>
      <c r="O2538" s="1468"/>
    </row>
    <row r="2539" spans="11:15">
      <c r="K2539" s="1465">
        <v>44596</v>
      </c>
      <c r="L2539" s="1466" t="s">
        <v>2127</v>
      </c>
      <c r="M2539" s="1467">
        <v>4.0168000000000002E-2</v>
      </c>
      <c r="N2539" s="1468">
        <v>1.7032195236650169</v>
      </c>
      <c r="O2539" s="1468"/>
    </row>
    <row r="2540" spans="11:15">
      <c r="K2540" s="1465">
        <v>44597</v>
      </c>
      <c r="L2540" s="1466"/>
      <c r="M2540" s="1467">
        <v>0</v>
      </c>
      <c r="N2540" s="1468">
        <v>1.7032195236650169</v>
      </c>
      <c r="O2540" s="1468"/>
    </row>
    <row r="2541" spans="11:15">
      <c r="K2541" s="1465">
        <v>44598</v>
      </c>
      <c r="L2541" s="1466"/>
      <c r="M2541" s="1467">
        <v>0</v>
      </c>
      <c r="N2541" s="1468">
        <v>1.7032195236650169</v>
      </c>
      <c r="O2541" s="1468"/>
    </row>
    <row r="2542" spans="11:15">
      <c r="K2542" s="1465">
        <v>44599</v>
      </c>
      <c r="L2542" s="1466" t="s">
        <v>2127</v>
      </c>
      <c r="M2542" s="1467">
        <v>4.0168000000000002E-2</v>
      </c>
      <c r="N2542" s="1468">
        <v>1.7039036728832826</v>
      </c>
      <c r="O2542" s="1468"/>
    </row>
    <row r="2543" spans="11:15">
      <c r="K2543" s="1465">
        <v>44600</v>
      </c>
      <c r="L2543" s="1466" t="s">
        <v>2127</v>
      </c>
      <c r="M2543" s="1467">
        <v>4.0168000000000002E-2</v>
      </c>
      <c r="N2543" s="1468">
        <v>1.7045880969106062</v>
      </c>
      <c r="O2543" s="1468"/>
    </row>
    <row r="2544" spans="11:15">
      <c r="K2544" s="1465">
        <v>44601</v>
      </c>
      <c r="L2544" s="1466" t="s">
        <v>2127</v>
      </c>
      <c r="M2544" s="1467">
        <v>4.0168000000000002E-2</v>
      </c>
      <c r="N2544" s="1468">
        <v>1.7052727958573732</v>
      </c>
      <c r="O2544" s="1468"/>
    </row>
    <row r="2545" spans="11:15">
      <c r="K2545" s="1465">
        <v>44602</v>
      </c>
      <c r="L2545" s="1466" t="s">
        <v>2127</v>
      </c>
      <c r="M2545" s="1467">
        <v>4.0168000000000002E-2</v>
      </c>
      <c r="N2545" s="1468">
        <v>1.7059577698340131</v>
      </c>
      <c r="O2545" s="1468"/>
    </row>
    <row r="2546" spans="11:15">
      <c r="K2546" s="1465">
        <v>44603</v>
      </c>
      <c r="L2546" s="1466" t="s">
        <v>2127</v>
      </c>
      <c r="M2546" s="1467">
        <v>4.0168000000000002E-2</v>
      </c>
      <c r="N2546" s="1468">
        <v>1.706643018951</v>
      </c>
      <c r="O2546" s="1468"/>
    </row>
    <row r="2547" spans="11:15">
      <c r="K2547" s="1465">
        <v>44604</v>
      </c>
      <c r="L2547" s="1466"/>
      <c r="M2547" s="1467">
        <v>0</v>
      </c>
      <c r="N2547" s="1468">
        <v>1.706643018951</v>
      </c>
      <c r="O2547" s="1468"/>
    </row>
    <row r="2548" spans="11:15">
      <c r="K2548" s="1465">
        <v>44605</v>
      </c>
      <c r="L2548" s="1466"/>
      <c r="M2548" s="1467">
        <v>0</v>
      </c>
      <c r="N2548" s="1468">
        <v>1.706643018951</v>
      </c>
      <c r="O2548" s="1468"/>
    </row>
    <row r="2549" spans="11:15">
      <c r="K2549" s="1465">
        <v>44606</v>
      </c>
      <c r="L2549" s="1466" t="s">
        <v>2127</v>
      </c>
      <c r="M2549" s="1467">
        <v>4.0168000000000002E-2</v>
      </c>
      <c r="N2549" s="1468">
        <v>1.7073285433188521</v>
      </c>
      <c r="O2549" s="1468"/>
    </row>
    <row r="2550" spans="11:15">
      <c r="K2550" s="1465">
        <v>44607</v>
      </c>
      <c r="L2550" s="1466" t="s">
        <v>2127</v>
      </c>
      <c r="M2550" s="1467">
        <v>4.0168000000000002E-2</v>
      </c>
      <c r="N2550" s="1468">
        <v>1.7080143430481323</v>
      </c>
      <c r="O2550" s="1468"/>
    </row>
    <row r="2551" spans="11:15">
      <c r="K2551" s="1465">
        <v>44608</v>
      </c>
      <c r="L2551" s="1466" t="s">
        <v>2127</v>
      </c>
      <c r="M2551" s="1467">
        <v>4.0168000000000002E-2</v>
      </c>
      <c r="N2551" s="1468">
        <v>1.7087004182494478</v>
      </c>
      <c r="O2551" s="1468"/>
    </row>
    <row r="2552" spans="11:15">
      <c r="K2552" s="1465">
        <v>44609</v>
      </c>
      <c r="L2552" s="1466" t="s">
        <v>2127</v>
      </c>
      <c r="M2552" s="1467">
        <v>4.0168000000000002E-2</v>
      </c>
      <c r="N2552" s="1468">
        <v>1.7093867690334503</v>
      </c>
      <c r="O2552" s="1468"/>
    </row>
    <row r="2553" spans="11:15">
      <c r="K2553" s="1465">
        <v>44610</v>
      </c>
      <c r="L2553" s="1466" t="s">
        <v>2127</v>
      </c>
      <c r="M2553" s="1467">
        <v>4.0168000000000002E-2</v>
      </c>
      <c r="N2553" s="1468">
        <v>1.7100733955108356</v>
      </c>
      <c r="O2553" s="1468"/>
    </row>
    <row r="2554" spans="11:15">
      <c r="K2554" s="1465">
        <v>44611</v>
      </c>
      <c r="L2554" s="1466"/>
      <c r="M2554" s="1467">
        <v>0</v>
      </c>
      <c r="N2554" s="1468">
        <v>1.7100733955108356</v>
      </c>
      <c r="O2554" s="1468"/>
    </row>
    <row r="2555" spans="11:15">
      <c r="K2555" s="1465">
        <v>44612</v>
      </c>
      <c r="L2555" s="1466"/>
      <c r="M2555" s="1467">
        <v>0</v>
      </c>
      <c r="N2555" s="1468">
        <v>1.7100733955108356</v>
      </c>
      <c r="O2555" s="1468"/>
    </row>
    <row r="2556" spans="11:15">
      <c r="K2556" s="1465">
        <v>44613</v>
      </c>
      <c r="L2556" s="1466" t="s">
        <v>2127</v>
      </c>
      <c r="M2556" s="1467">
        <v>4.0168000000000002E-2</v>
      </c>
      <c r="N2556" s="1468">
        <v>1.7107602977923444</v>
      </c>
      <c r="O2556" s="1468"/>
    </row>
    <row r="2557" spans="11:15">
      <c r="K2557" s="1465">
        <v>44614</v>
      </c>
      <c r="L2557" s="1466" t="s">
        <v>2127</v>
      </c>
      <c r="M2557" s="1467">
        <v>4.0168000000000002E-2</v>
      </c>
      <c r="N2557" s="1468">
        <v>1.7114474759887615</v>
      </c>
      <c r="O2557" s="1468"/>
    </row>
    <row r="2558" spans="11:15">
      <c r="K2558" s="1465">
        <v>44615</v>
      </c>
      <c r="L2558" s="1466" t="s">
        <v>2127</v>
      </c>
      <c r="M2558" s="1467">
        <v>4.0168000000000002E-2</v>
      </c>
      <c r="N2558" s="1468">
        <v>1.7121349302109166</v>
      </c>
      <c r="O2558" s="1468"/>
    </row>
    <row r="2559" spans="11:15">
      <c r="K2559" s="1465">
        <v>44616</v>
      </c>
      <c r="L2559" s="1466" t="s">
        <v>2127</v>
      </c>
      <c r="M2559" s="1467">
        <v>4.0168000000000002E-2</v>
      </c>
      <c r="N2559" s="1468">
        <v>1.7128226605696837</v>
      </c>
      <c r="O2559" s="1468"/>
    </row>
    <row r="2560" spans="11:15">
      <c r="K2560" s="1465">
        <v>44617</v>
      </c>
      <c r="L2560" s="1466" t="s">
        <v>2127</v>
      </c>
      <c r="M2560" s="1467">
        <v>4.0168000000000002E-2</v>
      </c>
      <c r="N2560" s="1468">
        <v>1.7135106671759812</v>
      </c>
      <c r="O2560" s="1468"/>
    </row>
    <row r="2561" spans="11:15">
      <c r="K2561" s="1465">
        <v>44618</v>
      </c>
      <c r="L2561" s="1466"/>
      <c r="M2561" s="1467">
        <v>0</v>
      </c>
      <c r="N2561" s="1468">
        <v>1.7135106671759812</v>
      </c>
      <c r="O2561" s="1468"/>
    </row>
    <row r="2562" spans="11:15">
      <c r="K2562" s="1465">
        <v>44619</v>
      </c>
      <c r="L2562" s="1466"/>
      <c r="M2562" s="1467">
        <v>0</v>
      </c>
      <c r="N2562" s="1468">
        <v>1.7135106671759812</v>
      </c>
      <c r="O2562" s="1468"/>
    </row>
    <row r="2563" spans="11:15">
      <c r="K2563" s="1465">
        <v>44620</v>
      </c>
      <c r="L2563" s="1466"/>
      <c r="M2563" s="1467">
        <v>0</v>
      </c>
      <c r="N2563" s="1468">
        <v>1.7135106671759812</v>
      </c>
      <c r="O2563" s="1468"/>
    </row>
    <row r="2564" spans="11:15">
      <c r="K2564" s="1465">
        <v>44621</v>
      </c>
      <c r="L2564" s="1466"/>
      <c r="M2564" s="1467">
        <v>0</v>
      </c>
      <c r="N2564" s="1468">
        <v>1.7135106671759812</v>
      </c>
      <c r="O2564" s="1468"/>
    </row>
    <row r="2565" spans="11:15">
      <c r="K2565" s="1465">
        <v>44622</v>
      </c>
      <c r="L2565" s="1466" t="s">
        <v>2127</v>
      </c>
      <c r="M2565" s="1467">
        <v>4.0168000000000002E-2</v>
      </c>
      <c r="N2565" s="1468">
        <v>1.7141989501407724</v>
      </c>
      <c r="O2565" s="1468"/>
    </row>
    <row r="2566" spans="11:15">
      <c r="K2566" s="1465">
        <v>44623</v>
      </c>
      <c r="L2566" s="1466" t="s">
        <v>2127</v>
      </c>
      <c r="M2566" s="1467">
        <v>4.0168000000000002E-2</v>
      </c>
      <c r="N2566" s="1468">
        <v>1.7148875095750649</v>
      </c>
      <c r="O2566" s="1468"/>
    </row>
    <row r="2567" spans="11:15">
      <c r="K2567" s="1465">
        <v>44624</v>
      </c>
      <c r="L2567" s="1466" t="s">
        <v>2127</v>
      </c>
      <c r="M2567" s="1467">
        <v>4.0168000000000002E-2</v>
      </c>
      <c r="N2567" s="1468">
        <v>1.7155763455899109</v>
      </c>
      <c r="O2567" s="1468"/>
    </row>
    <row r="2568" spans="11:15">
      <c r="K2568" s="1465">
        <v>44625</v>
      </c>
      <c r="L2568" s="1466"/>
      <c r="M2568" s="1467">
        <v>0</v>
      </c>
      <c r="N2568" s="1468">
        <v>1.7155763455899109</v>
      </c>
      <c r="O2568" s="1468"/>
    </row>
    <row r="2569" spans="11:15">
      <c r="K2569" s="1465">
        <v>44626</v>
      </c>
      <c r="L2569" s="1466"/>
      <c r="M2569" s="1467">
        <v>0</v>
      </c>
      <c r="N2569" s="1468">
        <v>1.7155763455899109</v>
      </c>
      <c r="O2569" s="1468"/>
    </row>
    <row r="2570" spans="11:15">
      <c r="K2570" s="1465">
        <v>44627</v>
      </c>
      <c r="L2570" s="1466" t="s">
        <v>2127</v>
      </c>
      <c r="M2570" s="1467">
        <v>4.0168000000000002E-2</v>
      </c>
      <c r="N2570" s="1468">
        <v>1.7162654582964074</v>
      </c>
      <c r="O2570" s="1468"/>
    </row>
    <row r="2571" spans="11:15">
      <c r="K2571" s="1465">
        <v>44628</v>
      </c>
      <c r="L2571" s="1466" t="s">
        <v>2127</v>
      </c>
      <c r="M2571" s="1467">
        <v>4.0168000000000002E-2</v>
      </c>
      <c r="N2571" s="1468">
        <v>1.716954847805696</v>
      </c>
      <c r="O2571" s="1468"/>
    </row>
    <row r="2572" spans="11:15">
      <c r="K2572" s="1465">
        <v>44629</v>
      </c>
      <c r="L2572" s="1466" t="s">
        <v>2127</v>
      </c>
      <c r="M2572" s="1467">
        <v>4.0168000000000002E-2</v>
      </c>
      <c r="N2572" s="1468">
        <v>1.7176445142289625</v>
      </c>
      <c r="O2572" s="1468"/>
    </row>
    <row r="2573" spans="11:15">
      <c r="K2573" s="1465">
        <v>44630</v>
      </c>
      <c r="L2573" s="1466" t="s">
        <v>2127</v>
      </c>
      <c r="M2573" s="1467">
        <v>4.0168000000000002E-2</v>
      </c>
      <c r="N2573" s="1468">
        <v>1.718334457677438</v>
      </c>
      <c r="O2573" s="1468"/>
    </row>
    <row r="2574" spans="11:15">
      <c r="K2574" s="1465">
        <v>44631</v>
      </c>
      <c r="L2574" s="1466" t="s">
        <v>2127</v>
      </c>
      <c r="M2574" s="1467">
        <v>4.0168000000000002E-2</v>
      </c>
      <c r="N2574" s="1468">
        <v>1.7190246782623977</v>
      </c>
      <c r="O2574" s="1468"/>
    </row>
    <row r="2575" spans="11:15">
      <c r="K2575" s="1465">
        <v>44632</v>
      </c>
      <c r="L2575" s="1466"/>
      <c r="M2575" s="1467">
        <v>0</v>
      </c>
      <c r="N2575" s="1468">
        <v>1.7190246782623977</v>
      </c>
      <c r="O2575" s="1468"/>
    </row>
    <row r="2576" spans="11:15">
      <c r="K2576" s="1465">
        <v>44633</v>
      </c>
      <c r="L2576" s="1466"/>
      <c r="M2576" s="1467">
        <v>0</v>
      </c>
      <c r="N2576" s="1468">
        <v>1.7190246782623977</v>
      </c>
      <c r="O2576" s="1468"/>
    </row>
    <row r="2577" spans="11:15">
      <c r="K2577" s="1465">
        <v>44634</v>
      </c>
      <c r="L2577" s="1466" t="s">
        <v>2127</v>
      </c>
      <c r="M2577" s="1467">
        <v>4.0168000000000002E-2</v>
      </c>
      <c r="N2577" s="1468">
        <v>1.7197151760951621</v>
      </c>
      <c r="O2577" s="1468"/>
    </row>
    <row r="2578" spans="11:15">
      <c r="K2578" s="1465">
        <v>44635</v>
      </c>
      <c r="L2578" s="1466" t="s">
        <v>2127</v>
      </c>
      <c r="M2578" s="1467">
        <v>4.0168000000000002E-2</v>
      </c>
      <c r="N2578" s="1468">
        <v>1.7204059512870959</v>
      </c>
      <c r="O2578" s="1468"/>
    </row>
    <row r="2579" spans="11:15">
      <c r="K2579" s="1465">
        <v>44636</v>
      </c>
      <c r="L2579" s="1466" t="s">
        <v>2127</v>
      </c>
      <c r="M2579" s="1467">
        <v>4.0168000000000002E-2</v>
      </c>
      <c r="N2579" s="1468">
        <v>1.721097003949609</v>
      </c>
      <c r="O2579" s="1468"/>
    </row>
    <row r="2580" spans="11:15">
      <c r="K2580" s="1465">
        <v>44637</v>
      </c>
      <c r="L2580" s="1466" t="s">
        <v>2127</v>
      </c>
      <c r="M2580" s="1467">
        <v>4.3739E-2</v>
      </c>
      <c r="N2580" s="1468">
        <v>1.7218497945681666</v>
      </c>
      <c r="O2580" s="1468"/>
    </row>
    <row r="2581" spans="11:15">
      <c r="K2581" s="1465">
        <v>44638</v>
      </c>
      <c r="L2581" s="1466" t="s">
        <v>2127</v>
      </c>
      <c r="M2581" s="1467">
        <v>4.3739E-2</v>
      </c>
      <c r="N2581" s="1468">
        <v>1.7226029144498129</v>
      </c>
      <c r="O2581" s="1468"/>
    </row>
    <row r="2582" spans="11:15">
      <c r="K2582" s="1465">
        <v>44639</v>
      </c>
      <c r="L2582" s="1466"/>
      <c r="M2582" s="1467">
        <v>0</v>
      </c>
      <c r="N2582" s="1468">
        <v>1.7226029144498129</v>
      </c>
      <c r="O2582" s="1468"/>
    </row>
    <row r="2583" spans="11:15">
      <c r="K2583" s="1465">
        <v>44640</v>
      </c>
      <c r="L2583" s="1466"/>
      <c r="M2583" s="1467">
        <v>0</v>
      </c>
      <c r="N2583" s="1468">
        <v>1.7226029144498129</v>
      </c>
      <c r="O2583" s="1468"/>
    </row>
    <row r="2584" spans="11:15">
      <c r="K2584" s="1465">
        <v>44641</v>
      </c>
      <c r="L2584" s="1466" t="s">
        <v>2127</v>
      </c>
      <c r="M2584" s="1467">
        <v>4.3739E-2</v>
      </c>
      <c r="N2584" s="1468">
        <v>1.7233563637385643</v>
      </c>
      <c r="O2584" s="1468"/>
    </row>
    <row r="2585" spans="11:15">
      <c r="K2585" s="1465">
        <v>44642</v>
      </c>
      <c r="L2585" s="1466" t="s">
        <v>2127</v>
      </c>
      <c r="M2585" s="1467">
        <v>4.3739E-2</v>
      </c>
      <c r="N2585" s="1468">
        <v>1.7241101425785001</v>
      </c>
      <c r="O2585" s="1468"/>
    </row>
    <row r="2586" spans="11:15">
      <c r="K2586" s="1465">
        <v>44643</v>
      </c>
      <c r="L2586" s="1466" t="s">
        <v>2127</v>
      </c>
      <c r="M2586" s="1467">
        <v>4.3739E-2</v>
      </c>
      <c r="N2586" s="1468">
        <v>1.7248642511137626</v>
      </c>
      <c r="O2586" s="1468"/>
    </row>
    <row r="2587" spans="11:15">
      <c r="K2587" s="1465">
        <v>44644</v>
      </c>
      <c r="L2587" s="1466" t="s">
        <v>2127</v>
      </c>
      <c r="M2587" s="1467">
        <v>4.3739E-2</v>
      </c>
      <c r="N2587" s="1468">
        <v>1.7256186894885575</v>
      </c>
      <c r="O2587" s="1468"/>
    </row>
    <row r="2588" spans="11:15">
      <c r="K2588" s="1465">
        <v>44645</v>
      </c>
      <c r="L2588" s="1466" t="s">
        <v>2127</v>
      </c>
      <c r="M2588" s="1467">
        <v>4.3739E-2</v>
      </c>
      <c r="N2588" s="1468">
        <v>1.726373457847153</v>
      </c>
      <c r="O2588" s="1468"/>
    </row>
    <row r="2589" spans="11:15">
      <c r="K2589" s="1465">
        <v>44646</v>
      </c>
      <c r="L2589" s="1466"/>
      <c r="M2589" s="1467">
        <v>0</v>
      </c>
      <c r="N2589" s="1468">
        <v>1.726373457847153</v>
      </c>
      <c r="O2589" s="1468"/>
    </row>
    <row r="2590" spans="11:15">
      <c r="K2590" s="1465">
        <v>44647</v>
      </c>
      <c r="L2590" s="1466"/>
      <c r="M2590" s="1467">
        <v>0</v>
      </c>
      <c r="N2590" s="1468">
        <v>1.726373457847153</v>
      </c>
      <c r="O2590" s="1468"/>
    </row>
    <row r="2591" spans="11:15">
      <c r="K2591" s="1465">
        <v>44648</v>
      </c>
      <c r="L2591" s="1466" t="s">
        <v>2127</v>
      </c>
      <c r="M2591" s="1467">
        <v>4.3739E-2</v>
      </c>
      <c r="N2591" s="1468">
        <v>1.727128556333881</v>
      </c>
      <c r="O2591" s="1468"/>
    </row>
    <row r="2592" spans="11:15">
      <c r="K2592" s="1465">
        <v>44649</v>
      </c>
      <c r="L2592" s="1466" t="s">
        <v>2127</v>
      </c>
      <c r="M2592" s="1467">
        <v>4.3739E-2</v>
      </c>
      <c r="N2592" s="1468">
        <v>1.727883985093136</v>
      </c>
      <c r="O2592" s="1468"/>
    </row>
    <row r="2593" spans="11:15">
      <c r="K2593" s="1465">
        <v>44650</v>
      </c>
      <c r="L2593" s="1466" t="s">
        <v>2127</v>
      </c>
      <c r="M2593" s="1467">
        <v>4.3739E-2</v>
      </c>
      <c r="N2593" s="1468">
        <v>1.7286397442693762</v>
      </c>
      <c r="O2593" s="1468"/>
    </row>
    <row r="2594" spans="11:15">
      <c r="K2594" s="1465">
        <v>44651</v>
      </c>
      <c r="L2594" s="1466" t="s">
        <v>2127</v>
      </c>
      <c r="M2594" s="1467">
        <v>4.3739E-2</v>
      </c>
      <c r="N2594" s="1468">
        <v>1.7293958340071223</v>
      </c>
      <c r="O2594" s="1468"/>
    </row>
    <row r="2595" spans="11:15">
      <c r="K2595" s="1465">
        <v>44652</v>
      </c>
      <c r="L2595" s="1466" t="s">
        <v>2127</v>
      </c>
      <c r="M2595" s="1467">
        <v>4.3739E-2</v>
      </c>
      <c r="N2595" s="1468">
        <v>1.7301522544509589</v>
      </c>
      <c r="O2595" s="1468"/>
    </row>
    <row r="2596" spans="11:15">
      <c r="K2596" s="1465">
        <v>44653</v>
      </c>
      <c r="L2596" s="1466"/>
      <c r="M2596" s="1467">
        <v>0</v>
      </c>
      <c r="N2596" s="1468">
        <v>1.7301522544509589</v>
      </c>
      <c r="O2596" s="1468"/>
    </row>
    <row r="2597" spans="11:15">
      <c r="K2597" s="1465">
        <v>44654</v>
      </c>
      <c r="L2597" s="1466"/>
      <c r="M2597" s="1467">
        <v>0</v>
      </c>
      <c r="N2597" s="1468">
        <v>1.7301522544509589</v>
      </c>
      <c r="O2597" s="1468"/>
    </row>
    <row r="2598" spans="11:15">
      <c r="K2598" s="1465">
        <v>44655</v>
      </c>
      <c r="L2598" s="1466" t="s">
        <v>2127</v>
      </c>
      <c r="M2598" s="1467">
        <v>4.3739E-2</v>
      </c>
      <c r="N2598" s="1468">
        <v>1.7309090057455334</v>
      </c>
      <c r="O2598" s="1468"/>
    </row>
    <row r="2599" spans="11:15">
      <c r="K2599" s="1465">
        <v>44656</v>
      </c>
      <c r="L2599" s="1466" t="s">
        <v>2127</v>
      </c>
      <c r="M2599" s="1467">
        <v>4.3739E-2</v>
      </c>
      <c r="N2599" s="1468">
        <v>1.7316660880355565</v>
      </c>
      <c r="O2599" s="1468"/>
    </row>
    <row r="2600" spans="11:15">
      <c r="K2600" s="1465">
        <v>44657</v>
      </c>
      <c r="L2600" s="1466" t="s">
        <v>2127</v>
      </c>
      <c r="M2600" s="1467">
        <v>4.3739E-2</v>
      </c>
      <c r="N2600" s="1468">
        <v>1.7324235014658025</v>
      </c>
      <c r="O2600" s="1468"/>
    </row>
    <row r="2601" spans="11:15">
      <c r="K2601" s="1465">
        <v>44658</v>
      </c>
      <c r="L2601" s="1466" t="s">
        <v>2127</v>
      </c>
      <c r="M2601" s="1467">
        <v>4.3739E-2</v>
      </c>
      <c r="N2601" s="1468">
        <v>1.7331812461811087</v>
      </c>
      <c r="O2601" s="1468"/>
    </row>
    <row r="2602" spans="11:15">
      <c r="K2602" s="1465">
        <v>44659</v>
      </c>
      <c r="L2602" s="1466" t="s">
        <v>2127</v>
      </c>
      <c r="M2602" s="1467">
        <v>4.3739E-2</v>
      </c>
      <c r="N2602" s="1468">
        <v>1.7339393223263759</v>
      </c>
      <c r="O2602" s="1468"/>
    </row>
    <row r="2603" spans="11:15">
      <c r="K2603" s="1465">
        <v>44660</v>
      </c>
      <c r="L2603" s="1466"/>
      <c r="M2603" s="1467">
        <v>0</v>
      </c>
      <c r="N2603" s="1468">
        <v>1.7339393223263759</v>
      </c>
      <c r="O2603" s="1468"/>
    </row>
    <row r="2604" spans="11:15">
      <c r="K2604" s="1465">
        <v>44661</v>
      </c>
      <c r="L2604" s="1466"/>
      <c r="M2604" s="1467">
        <v>0</v>
      </c>
      <c r="N2604" s="1468">
        <v>1.7339393223263759</v>
      </c>
      <c r="O2604" s="1468"/>
    </row>
    <row r="2605" spans="11:15">
      <c r="K2605" s="1465">
        <v>44662</v>
      </c>
      <c r="L2605" s="1466" t="s">
        <v>2127</v>
      </c>
      <c r="M2605" s="1467">
        <v>4.3739E-2</v>
      </c>
      <c r="N2605" s="1468">
        <v>1.7346977300465685</v>
      </c>
      <c r="O2605" s="1468"/>
    </row>
    <row r="2606" spans="11:15">
      <c r="K2606" s="1465">
        <v>44663</v>
      </c>
      <c r="L2606" s="1466" t="s">
        <v>2127</v>
      </c>
      <c r="M2606" s="1467">
        <v>4.3739E-2</v>
      </c>
      <c r="N2606" s="1468">
        <v>1.7354564694867136</v>
      </c>
      <c r="O2606" s="1468"/>
    </row>
    <row r="2607" spans="11:15">
      <c r="K2607" s="1465">
        <v>44664</v>
      </c>
      <c r="L2607" s="1466" t="s">
        <v>2127</v>
      </c>
      <c r="M2607" s="1467">
        <v>4.3739E-2</v>
      </c>
      <c r="N2607" s="1468">
        <v>1.7362155407919027</v>
      </c>
      <c r="O2607" s="1468"/>
    </row>
    <row r="2608" spans="11:15">
      <c r="K2608" s="1465">
        <v>44665</v>
      </c>
      <c r="L2608" s="1466" t="s">
        <v>2127</v>
      </c>
      <c r="M2608" s="1467">
        <v>4.3739E-2</v>
      </c>
      <c r="N2608" s="1468">
        <v>1.7369749441072897</v>
      </c>
      <c r="O2608" s="1468"/>
    </row>
    <row r="2609" spans="11:15">
      <c r="K2609" s="1465">
        <v>44666</v>
      </c>
      <c r="L2609" s="1466"/>
      <c r="M2609" s="1467">
        <v>0</v>
      </c>
      <c r="N2609" s="1468">
        <v>1.7369749441072897</v>
      </c>
      <c r="O2609" s="1468"/>
    </row>
    <row r="2610" spans="11:15">
      <c r="K2610" s="1465">
        <v>44667</v>
      </c>
      <c r="L2610" s="1466"/>
      <c r="M2610" s="1467">
        <v>0</v>
      </c>
      <c r="N2610" s="1468">
        <v>1.7369749441072897</v>
      </c>
      <c r="O2610" s="1468"/>
    </row>
    <row r="2611" spans="11:15">
      <c r="K2611" s="1465">
        <v>44668</v>
      </c>
      <c r="L2611" s="1466"/>
      <c r="M2611" s="1467">
        <v>0</v>
      </c>
      <c r="N2611" s="1468">
        <v>1.7369749441072897</v>
      </c>
      <c r="O2611" s="1468"/>
    </row>
    <row r="2612" spans="11:15">
      <c r="K2612" s="1465">
        <v>44669</v>
      </c>
      <c r="L2612" s="1466" t="s">
        <v>2127</v>
      </c>
      <c r="M2612" s="1467">
        <v>4.3739E-2</v>
      </c>
      <c r="N2612" s="1468">
        <v>1.737734679578093</v>
      </c>
      <c r="O2612" s="1468"/>
    </row>
    <row r="2613" spans="11:15">
      <c r="K2613" s="1465">
        <v>44670</v>
      </c>
      <c r="L2613" s="1466" t="s">
        <v>2127</v>
      </c>
      <c r="M2613" s="1467">
        <v>4.3739E-2</v>
      </c>
      <c r="N2613" s="1468">
        <v>1.7384947473495937</v>
      </c>
      <c r="O2613" s="1468"/>
    </row>
    <row r="2614" spans="11:15">
      <c r="K2614" s="1465">
        <v>44671</v>
      </c>
      <c r="L2614" s="1466" t="s">
        <v>2127</v>
      </c>
      <c r="M2614" s="1467">
        <v>4.3739E-2</v>
      </c>
      <c r="N2614" s="1468">
        <v>1.7392551475671372</v>
      </c>
      <c r="O2614" s="1468"/>
    </row>
    <row r="2615" spans="11:15">
      <c r="K2615" s="1465">
        <v>44672</v>
      </c>
      <c r="L2615" s="1466"/>
      <c r="M2615" s="1467">
        <v>0</v>
      </c>
      <c r="N2615" s="1468">
        <v>1.7392551475671372</v>
      </c>
      <c r="O2615" s="1468"/>
    </row>
    <row r="2616" spans="11:15">
      <c r="K2616" s="1465">
        <v>44673</v>
      </c>
      <c r="L2616" s="1466" t="s">
        <v>2127</v>
      </c>
      <c r="M2616" s="1467">
        <v>4.3739E-2</v>
      </c>
      <c r="N2616" s="1468">
        <v>1.7400158803761316</v>
      </c>
      <c r="O2616" s="1468"/>
    </row>
    <row r="2617" spans="11:15">
      <c r="K2617" s="1465">
        <v>44674</v>
      </c>
      <c r="L2617" s="1466"/>
      <c r="M2617" s="1467">
        <v>0</v>
      </c>
      <c r="N2617" s="1468">
        <v>1.7400158803761316</v>
      </c>
      <c r="O2617" s="1468"/>
    </row>
    <row r="2618" spans="11:15">
      <c r="K2618" s="1465">
        <v>44675</v>
      </c>
      <c r="L2618" s="1466"/>
      <c r="M2618" s="1467">
        <v>0</v>
      </c>
      <c r="N2618" s="1468">
        <v>1.7400158803761316</v>
      </c>
      <c r="O2618" s="1468"/>
    </row>
    <row r="2619" spans="11:15">
      <c r="K2619" s="1465">
        <v>44676</v>
      </c>
      <c r="L2619" s="1466" t="s">
        <v>2127</v>
      </c>
      <c r="M2619" s="1467">
        <v>4.3739E-2</v>
      </c>
      <c r="N2619" s="1468">
        <v>1.7407769459220495</v>
      </c>
      <c r="O2619" s="1468"/>
    </row>
    <row r="2620" spans="11:15">
      <c r="K2620" s="1465">
        <v>44677</v>
      </c>
      <c r="L2620" s="1466" t="s">
        <v>2127</v>
      </c>
      <c r="M2620" s="1467">
        <v>4.3739E-2</v>
      </c>
      <c r="N2620" s="1468">
        <v>1.7415383443504264</v>
      </c>
      <c r="O2620" s="1468"/>
    </row>
    <row r="2621" spans="11:15">
      <c r="K2621" s="1465">
        <v>44678</v>
      </c>
      <c r="L2621" s="1466" t="s">
        <v>2127</v>
      </c>
      <c r="M2621" s="1467">
        <v>4.3739E-2</v>
      </c>
      <c r="N2621" s="1468">
        <v>1.7423000758068621</v>
      </c>
      <c r="O2621" s="1468"/>
    </row>
    <row r="2622" spans="11:15">
      <c r="K2622" s="1465">
        <v>44679</v>
      </c>
      <c r="L2622" s="1466" t="s">
        <v>2127</v>
      </c>
      <c r="M2622" s="1467">
        <v>4.3739E-2</v>
      </c>
      <c r="N2622" s="1468">
        <v>1.7430621404370195</v>
      </c>
      <c r="O2622" s="1468"/>
    </row>
    <row r="2623" spans="11:15">
      <c r="K2623" s="1465">
        <v>44680</v>
      </c>
      <c r="L2623" s="1466" t="s">
        <v>2127</v>
      </c>
      <c r="M2623" s="1467">
        <v>4.3739E-2</v>
      </c>
      <c r="N2623" s="1468">
        <v>1.7438245383866253</v>
      </c>
      <c r="O2623" s="1468"/>
    </row>
    <row r="2624" spans="11:15">
      <c r="K2624" s="1465">
        <v>44681</v>
      </c>
      <c r="L2624" s="1466"/>
      <c r="M2624" s="1467">
        <v>0</v>
      </c>
      <c r="N2624" s="1468">
        <v>1.7438245383866253</v>
      </c>
      <c r="O2624" s="1468"/>
    </row>
    <row r="2625" spans="11:15">
      <c r="K2625" s="1465">
        <v>44682</v>
      </c>
      <c r="L2625" s="1466"/>
      <c r="M2625" s="1467">
        <v>0</v>
      </c>
      <c r="N2625" s="1468">
        <v>1.7438245383866253</v>
      </c>
      <c r="O2625" s="1468"/>
    </row>
    <row r="2626" spans="11:15">
      <c r="K2626" s="1465">
        <v>44683</v>
      </c>
      <c r="L2626" s="1466" t="s">
        <v>2127</v>
      </c>
      <c r="M2626" s="1467">
        <v>4.3739E-2</v>
      </c>
      <c r="N2626" s="1468">
        <v>1.7445872698014704</v>
      </c>
      <c r="O2626" s="1468"/>
    </row>
    <row r="2627" spans="11:15">
      <c r="K2627" s="1465">
        <v>44684</v>
      </c>
      <c r="L2627" s="1466" t="s">
        <v>2127</v>
      </c>
      <c r="M2627" s="1467">
        <v>4.3739E-2</v>
      </c>
      <c r="N2627" s="1468">
        <v>1.7453503348274091</v>
      </c>
      <c r="O2627" s="1468"/>
    </row>
    <row r="2628" spans="11:15">
      <c r="K2628" s="1465">
        <v>44685</v>
      </c>
      <c r="L2628" s="1466" t="s">
        <v>2127</v>
      </c>
      <c r="M2628" s="1467">
        <v>4.3739E-2</v>
      </c>
      <c r="N2628" s="1468">
        <v>1.7461137336103594</v>
      </c>
      <c r="O2628" s="1468"/>
    </row>
    <row r="2629" spans="11:15">
      <c r="K2629" s="1465">
        <v>44686</v>
      </c>
      <c r="L2629" s="1466" t="s">
        <v>2127</v>
      </c>
      <c r="M2629" s="1467">
        <v>4.7279000000000002E-2</v>
      </c>
      <c r="N2629" s="1468">
        <v>1.7469392787224729</v>
      </c>
      <c r="O2629" s="1468"/>
    </row>
    <row r="2630" spans="11:15">
      <c r="K2630" s="1465">
        <v>44687</v>
      </c>
      <c r="L2630" s="1466" t="s">
        <v>2127</v>
      </c>
      <c r="M2630" s="1467">
        <v>4.7279000000000002E-2</v>
      </c>
      <c r="N2630" s="1468">
        <v>1.7477652141440598</v>
      </c>
      <c r="O2630" s="1468"/>
    </row>
    <row r="2631" spans="11:15">
      <c r="K2631" s="1465">
        <v>44688</v>
      </c>
      <c r="L2631" s="1466"/>
      <c r="M2631" s="1467">
        <v>0</v>
      </c>
      <c r="N2631" s="1468">
        <v>1.7477652141440598</v>
      </c>
      <c r="O2631" s="1468"/>
    </row>
    <row r="2632" spans="11:15">
      <c r="K2632" s="1465">
        <v>44689</v>
      </c>
      <c r="L2632" s="1466"/>
      <c r="M2632" s="1467">
        <v>0</v>
      </c>
      <c r="N2632" s="1468">
        <v>1.7477652141440598</v>
      </c>
      <c r="O2632" s="1468"/>
    </row>
    <row r="2633" spans="11:15">
      <c r="K2633" s="1465">
        <v>44690</v>
      </c>
      <c r="L2633" s="1466" t="s">
        <v>2127</v>
      </c>
      <c r="M2633" s="1467">
        <v>4.7279000000000002E-2</v>
      </c>
      <c r="N2633" s="1468">
        <v>1.7485915400596548</v>
      </c>
      <c r="O2633" s="1468"/>
    </row>
    <row r="2634" spans="11:15">
      <c r="K2634" s="1465">
        <v>44691</v>
      </c>
      <c r="L2634" s="1466" t="s">
        <v>2127</v>
      </c>
      <c r="M2634" s="1467">
        <v>4.7279000000000002E-2</v>
      </c>
      <c r="N2634" s="1468">
        <v>1.7494182566538794</v>
      </c>
      <c r="O2634" s="1468"/>
    </row>
    <row r="2635" spans="11:15">
      <c r="K2635" s="1465">
        <v>44692</v>
      </c>
      <c r="L2635" s="1466" t="s">
        <v>2127</v>
      </c>
      <c r="M2635" s="1467">
        <v>4.7279000000000002E-2</v>
      </c>
      <c r="N2635" s="1468">
        <v>1.7502453641114426</v>
      </c>
      <c r="O2635" s="1468"/>
    </row>
    <row r="2636" spans="11:15">
      <c r="K2636" s="1465">
        <v>44693</v>
      </c>
      <c r="L2636" s="1466" t="s">
        <v>2127</v>
      </c>
      <c r="M2636" s="1467">
        <v>4.7279000000000002E-2</v>
      </c>
      <c r="N2636" s="1468">
        <v>1.7510728626171406</v>
      </c>
      <c r="O2636" s="1468"/>
    </row>
    <row r="2637" spans="11:15">
      <c r="K2637" s="1465">
        <v>44694</v>
      </c>
      <c r="L2637" s="1466" t="s">
        <v>2127</v>
      </c>
      <c r="M2637" s="1467">
        <v>4.7279000000000002E-2</v>
      </c>
      <c r="N2637" s="1468">
        <v>1.7519007523558572</v>
      </c>
      <c r="O2637" s="1468"/>
    </row>
    <row r="2638" spans="11:15">
      <c r="K2638" s="1465">
        <v>44695</v>
      </c>
      <c r="L2638" s="1466"/>
      <c r="M2638" s="1467">
        <v>0</v>
      </c>
      <c r="N2638" s="1468">
        <v>1.7519007523558572</v>
      </c>
      <c r="O2638" s="1468"/>
    </row>
    <row r="2639" spans="11:15">
      <c r="K2639" s="1465">
        <v>44696</v>
      </c>
      <c r="L2639" s="1466"/>
      <c r="M2639" s="1467">
        <v>0</v>
      </c>
      <c r="N2639" s="1468">
        <v>1.7519007523558572</v>
      </c>
      <c r="O2639" s="1468"/>
    </row>
    <row r="2640" spans="11:15">
      <c r="K2640" s="1465">
        <v>44697</v>
      </c>
      <c r="L2640" s="1466" t="s">
        <v>2127</v>
      </c>
      <c r="M2640" s="1467">
        <v>4.7279000000000002E-2</v>
      </c>
      <c r="N2640" s="1468">
        <v>1.7527290335125634</v>
      </c>
      <c r="O2640" s="1468"/>
    </row>
    <row r="2641" spans="11:15">
      <c r="K2641" s="1465">
        <v>44698</v>
      </c>
      <c r="L2641" s="1466" t="s">
        <v>2127</v>
      </c>
      <c r="M2641" s="1467">
        <v>4.7279000000000002E-2</v>
      </c>
      <c r="N2641" s="1468">
        <v>1.7535577062723176</v>
      </c>
      <c r="O2641" s="1468"/>
    </row>
    <row r="2642" spans="11:15">
      <c r="K2642" s="1465">
        <v>44699</v>
      </c>
      <c r="L2642" s="1466" t="s">
        <v>2127</v>
      </c>
      <c r="M2642" s="1467">
        <v>4.7279000000000002E-2</v>
      </c>
      <c r="N2642" s="1468">
        <v>1.7543867708202658</v>
      </c>
      <c r="O2642" s="1468"/>
    </row>
    <row r="2643" spans="11:15">
      <c r="K2643" s="1465">
        <v>44700</v>
      </c>
      <c r="L2643" s="1466" t="s">
        <v>2127</v>
      </c>
      <c r="M2643" s="1467">
        <v>4.7279000000000002E-2</v>
      </c>
      <c r="N2643" s="1468">
        <v>1.7552162273416418</v>
      </c>
      <c r="O2643" s="1468"/>
    </row>
    <row r="2644" spans="11:15">
      <c r="K2644" s="1465">
        <v>44701</v>
      </c>
      <c r="L2644" s="1466" t="s">
        <v>2127</v>
      </c>
      <c r="M2644" s="1467">
        <v>4.7279000000000002E-2</v>
      </c>
      <c r="N2644" s="1468">
        <v>1.7560460760217664</v>
      </c>
      <c r="O2644" s="1468"/>
    </row>
    <row r="2645" spans="11:15">
      <c r="K2645" s="1465">
        <v>44702</v>
      </c>
      <c r="L2645" s="1466"/>
      <c r="M2645" s="1467">
        <v>0</v>
      </c>
      <c r="N2645" s="1468">
        <v>1.7560460760217664</v>
      </c>
      <c r="O2645" s="1468"/>
    </row>
    <row r="2646" spans="11:15">
      <c r="K2646" s="1465">
        <v>44703</v>
      </c>
      <c r="L2646" s="1466"/>
      <c r="M2646" s="1467">
        <v>0</v>
      </c>
      <c r="N2646" s="1468">
        <v>1.7560460760217664</v>
      </c>
      <c r="O2646" s="1468"/>
    </row>
    <row r="2647" spans="11:15">
      <c r="K2647" s="1465">
        <v>44704</v>
      </c>
      <c r="L2647" s="1466" t="s">
        <v>2127</v>
      </c>
      <c r="M2647" s="1467">
        <v>4.7279000000000002E-2</v>
      </c>
      <c r="N2647" s="1468">
        <v>1.7568763170460486</v>
      </c>
      <c r="O2647" s="1468"/>
    </row>
    <row r="2648" spans="11:15">
      <c r="K2648" s="1465">
        <v>44705</v>
      </c>
      <c r="L2648" s="1466" t="s">
        <v>2127</v>
      </c>
      <c r="M2648" s="1467">
        <v>4.7279000000000002E-2</v>
      </c>
      <c r="N2648" s="1468">
        <v>1.7577069505999847</v>
      </c>
      <c r="O2648" s="1468"/>
    </row>
    <row r="2649" spans="11:15">
      <c r="K2649" s="1465">
        <v>44706</v>
      </c>
      <c r="L2649" s="1466" t="s">
        <v>2127</v>
      </c>
      <c r="M2649" s="1467">
        <v>4.7279000000000002E-2</v>
      </c>
      <c r="N2649" s="1468">
        <v>1.7585379768691587</v>
      </c>
      <c r="O2649" s="1468"/>
    </row>
    <row r="2650" spans="11:15">
      <c r="K2650" s="1465">
        <v>44707</v>
      </c>
      <c r="L2650" s="1466" t="s">
        <v>2127</v>
      </c>
      <c r="M2650" s="1467">
        <v>4.7279000000000002E-2</v>
      </c>
      <c r="N2650" s="1468">
        <v>1.7593693960392425</v>
      </c>
      <c r="O2650" s="1468"/>
    </row>
    <row r="2651" spans="11:15">
      <c r="K2651" s="1465">
        <v>44708</v>
      </c>
      <c r="L2651" s="1466" t="s">
        <v>2127</v>
      </c>
      <c r="M2651" s="1467">
        <v>4.7279000000000002E-2</v>
      </c>
      <c r="N2651" s="1468">
        <v>1.7602012082959957</v>
      </c>
      <c r="O2651" s="1468"/>
    </row>
    <row r="2652" spans="11:15">
      <c r="K2652" s="1465">
        <v>44709</v>
      </c>
      <c r="L2652" s="1466"/>
      <c r="M2652" s="1467">
        <v>0</v>
      </c>
      <c r="N2652" s="1468">
        <v>1.7602012082959957</v>
      </c>
      <c r="O2652" s="1468"/>
    </row>
    <row r="2653" spans="11:15">
      <c r="K2653" s="1465">
        <v>44710</v>
      </c>
      <c r="L2653" s="1466"/>
      <c r="M2653" s="1467">
        <v>0</v>
      </c>
      <c r="N2653" s="1468">
        <v>1.7602012082959957</v>
      </c>
      <c r="O2653" s="1468"/>
    </row>
    <row r="2654" spans="11:15">
      <c r="K2654" s="1465">
        <v>44711</v>
      </c>
      <c r="L2654" s="1466" t="s">
        <v>2127</v>
      </c>
      <c r="M2654" s="1467">
        <v>4.7279000000000002E-2</v>
      </c>
      <c r="N2654" s="1468">
        <v>1.7610334138252657</v>
      </c>
      <c r="O2654" s="1468"/>
    </row>
    <row r="2655" spans="11:15">
      <c r="K2655" s="1465">
        <v>44712</v>
      </c>
      <c r="L2655" s="1466" t="s">
        <v>2127</v>
      </c>
      <c r="M2655" s="1467">
        <v>4.7279000000000002E-2</v>
      </c>
      <c r="N2655" s="1468">
        <v>1.7618660128129879</v>
      </c>
      <c r="O2655" s="1468"/>
    </row>
    <row r="2656" spans="11:15">
      <c r="K2656" s="1465">
        <v>44713</v>
      </c>
      <c r="L2656" s="1466" t="s">
        <v>2127</v>
      </c>
      <c r="M2656" s="1467">
        <v>4.7279000000000002E-2</v>
      </c>
      <c r="N2656" s="1468">
        <v>1.7626990054451857</v>
      </c>
      <c r="O2656" s="1468"/>
    </row>
    <row r="2657" spans="11:15">
      <c r="K2657" s="1465">
        <v>44714</v>
      </c>
      <c r="L2657" s="1466" t="s">
        <v>2127</v>
      </c>
      <c r="M2657" s="1467">
        <v>4.7279000000000002E-2</v>
      </c>
      <c r="N2657" s="1468">
        <v>1.76353239190797</v>
      </c>
      <c r="O2657" s="1468"/>
    </row>
    <row r="2658" spans="11:15">
      <c r="K2658" s="1465">
        <v>44715</v>
      </c>
      <c r="L2658" s="1466" t="s">
        <v>2127</v>
      </c>
      <c r="M2658" s="1467">
        <v>4.7279000000000002E-2</v>
      </c>
      <c r="N2658" s="1468">
        <v>1.7643661723875399</v>
      </c>
      <c r="O2658" s="1468"/>
    </row>
    <row r="2659" spans="11:15">
      <c r="K2659" s="1465">
        <v>44716</v>
      </c>
      <c r="L2659" s="1466"/>
      <c r="M2659" s="1467">
        <v>0</v>
      </c>
      <c r="N2659" s="1468">
        <v>1.7643661723875399</v>
      </c>
      <c r="O2659" s="1468"/>
    </row>
    <row r="2660" spans="11:15">
      <c r="K2660" s="1465">
        <v>44717</v>
      </c>
      <c r="L2660" s="1466"/>
      <c r="M2660" s="1467">
        <v>0</v>
      </c>
      <c r="N2660" s="1468">
        <v>1.7643661723875399</v>
      </c>
      <c r="O2660" s="1468"/>
    </row>
    <row r="2661" spans="11:15">
      <c r="K2661" s="1465">
        <v>44718</v>
      </c>
      <c r="L2661" s="1466" t="s">
        <v>2127</v>
      </c>
      <c r="M2661" s="1467">
        <v>4.7279000000000002E-2</v>
      </c>
      <c r="N2661" s="1468">
        <v>1.7652003470701829</v>
      </c>
      <c r="O2661" s="1468"/>
    </row>
    <row r="2662" spans="11:15">
      <c r="K2662" s="1465">
        <v>44719</v>
      </c>
      <c r="L2662" s="1466" t="s">
        <v>2127</v>
      </c>
      <c r="M2662" s="1467">
        <v>4.7279000000000002E-2</v>
      </c>
      <c r="N2662" s="1468">
        <v>1.7660349161422739</v>
      </c>
      <c r="O2662" s="1468"/>
    </row>
    <row r="2663" spans="11:15">
      <c r="K2663" s="1465">
        <v>44720</v>
      </c>
      <c r="L2663" s="1466" t="s">
        <v>2127</v>
      </c>
      <c r="M2663" s="1467">
        <v>4.7279000000000002E-2</v>
      </c>
      <c r="N2663" s="1468">
        <v>1.7668698797902767</v>
      </c>
      <c r="O2663" s="1468"/>
    </row>
    <row r="2664" spans="11:15">
      <c r="K2664" s="1465">
        <v>44721</v>
      </c>
      <c r="L2664" s="1466" t="s">
        <v>2127</v>
      </c>
      <c r="M2664" s="1467">
        <v>4.7279000000000002E-2</v>
      </c>
      <c r="N2664" s="1468">
        <v>1.7677052382007425</v>
      </c>
      <c r="O2664" s="1468"/>
    </row>
    <row r="2665" spans="11:15">
      <c r="K2665" s="1465">
        <v>44722</v>
      </c>
      <c r="L2665" s="1466" t="s">
        <v>2127</v>
      </c>
      <c r="M2665" s="1467">
        <v>4.7279000000000002E-2</v>
      </c>
      <c r="N2665" s="1468">
        <v>1.7685409915603112</v>
      </c>
      <c r="O2665" s="1468"/>
    </row>
    <row r="2666" spans="11:15">
      <c r="K2666" s="1465">
        <v>44723</v>
      </c>
      <c r="L2666" s="1466"/>
      <c r="M2666" s="1467">
        <v>0</v>
      </c>
      <c r="N2666" s="1468">
        <v>1.7685409915603112</v>
      </c>
      <c r="O2666" s="1468"/>
    </row>
    <row r="2667" spans="11:15">
      <c r="K2667" s="1465">
        <v>44724</v>
      </c>
      <c r="L2667" s="1466"/>
      <c r="M2667" s="1467">
        <v>0</v>
      </c>
      <c r="N2667" s="1468">
        <v>1.7685409915603112</v>
      </c>
      <c r="O2667" s="1468"/>
    </row>
    <row r="2668" spans="11:15">
      <c r="K2668" s="1465">
        <v>44725</v>
      </c>
      <c r="L2668" s="1466" t="s">
        <v>2127</v>
      </c>
      <c r="M2668" s="1467">
        <v>4.7279000000000002E-2</v>
      </c>
      <c r="N2668" s="1468">
        <v>1.7693771400557108</v>
      </c>
      <c r="O2668" s="1468"/>
    </row>
    <row r="2669" spans="11:15">
      <c r="K2669" s="1465">
        <v>44726</v>
      </c>
      <c r="L2669" s="1466" t="s">
        <v>2127</v>
      </c>
      <c r="M2669" s="1467">
        <v>4.7279000000000002E-2</v>
      </c>
      <c r="N2669" s="1468">
        <v>1.7702136838737574</v>
      </c>
      <c r="O2669" s="1468"/>
    </row>
    <row r="2670" spans="11:15">
      <c r="K2670" s="1465">
        <v>44727</v>
      </c>
      <c r="L2670" s="1466" t="s">
        <v>2127</v>
      </c>
      <c r="M2670" s="1467">
        <v>4.7279000000000002E-2</v>
      </c>
      <c r="N2670" s="1468">
        <v>1.7710506232013559</v>
      </c>
      <c r="O2670" s="1468"/>
    </row>
    <row r="2671" spans="11:15">
      <c r="K2671" s="1465">
        <v>44728</v>
      </c>
      <c r="L2671" s="1466"/>
      <c r="M2671" s="1467">
        <v>0</v>
      </c>
      <c r="N2671" s="1468">
        <v>1.7710506232013559</v>
      </c>
      <c r="O2671" s="1468"/>
    </row>
    <row r="2672" spans="11:15">
      <c r="K2672" s="1465">
        <v>44729</v>
      </c>
      <c r="L2672" s="1466" t="s">
        <v>2127</v>
      </c>
      <c r="M2672" s="1467">
        <v>4.9036999999999997E-2</v>
      </c>
      <c r="N2672" s="1468">
        <v>1.7719190932954552</v>
      </c>
      <c r="O2672" s="1468"/>
    </row>
    <row r="2673" spans="11:15">
      <c r="K2673" s="1465">
        <v>44730</v>
      </c>
      <c r="L2673" s="1466"/>
      <c r="M2673" s="1467">
        <v>0</v>
      </c>
      <c r="N2673" s="1468">
        <v>1.7719190932954552</v>
      </c>
      <c r="O2673" s="1468"/>
    </row>
    <row r="2674" spans="11:15">
      <c r="K2674" s="1465">
        <v>44731</v>
      </c>
      <c r="L2674" s="1466"/>
      <c r="M2674" s="1467">
        <v>0</v>
      </c>
      <c r="N2674" s="1468">
        <v>1.7719190932954552</v>
      </c>
      <c r="O2674" s="1468"/>
    </row>
    <row r="2675" spans="11:15">
      <c r="K2675" s="1465">
        <v>44732</v>
      </c>
      <c r="L2675" s="1466" t="s">
        <v>2127</v>
      </c>
      <c r="M2675" s="1467">
        <v>4.9036999999999997E-2</v>
      </c>
      <c r="N2675" s="1468">
        <v>1.7727879892612346</v>
      </c>
      <c r="O2675" s="1468"/>
    </row>
    <row r="2676" spans="11:15">
      <c r="K2676" s="1465">
        <v>44733</v>
      </c>
      <c r="L2676" s="1466" t="s">
        <v>2127</v>
      </c>
      <c r="M2676" s="1467">
        <v>4.9036999999999997E-2</v>
      </c>
      <c r="N2676" s="1468">
        <v>1.7736573113075287</v>
      </c>
      <c r="O2676" s="1468"/>
    </row>
    <row r="2677" spans="11:15">
      <c r="K2677" s="1465">
        <v>44734</v>
      </c>
      <c r="L2677" s="1466" t="s">
        <v>2127</v>
      </c>
      <c r="M2677" s="1467">
        <v>4.9036999999999997E-2</v>
      </c>
      <c r="N2677" s="1468">
        <v>1.7745270596432747</v>
      </c>
      <c r="O2677" s="1468"/>
    </row>
    <row r="2678" spans="11:15">
      <c r="K2678" s="1465">
        <v>44735</v>
      </c>
      <c r="L2678" s="1466" t="s">
        <v>2127</v>
      </c>
      <c r="M2678" s="1467">
        <v>4.9036999999999997E-2</v>
      </c>
      <c r="N2678" s="1468">
        <v>1.7753972344775122</v>
      </c>
      <c r="O2678" s="1468"/>
    </row>
    <row r="2679" spans="11:15">
      <c r="K2679" s="1465">
        <v>44736</v>
      </c>
      <c r="L2679" s="1466" t="s">
        <v>2127</v>
      </c>
      <c r="M2679" s="1467">
        <v>4.9036999999999997E-2</v>
      </c>
      <c r="N2679" s="1468">
        <v>1.7762678360193831</v>
      </c>
      <c r="O2679" s="1468"/>
    </row>
    <row r="2680" spans="11:15">
      <c r="K2680" s="1465">
        <v>44737</v>
      </c>
      <c r="L2680" s="1466"/>
      <c r="M2680" s="1467">
        <v>0</v>
      </c>
      <c r="N2680" s="1468">
        <v>1.7762678360193831</v>
      </c>
      <c r="O2680" s="1468"/>
    </row>
    <row r="2681" spans="11:15">
      <c r="K2681" s="1465">
        <v>44738</v>
      </c>
      <c r="L2681" s="1466"/>
      <c r="M2681" s="1467">
        <v>0</v>
      </c>
      <c r="N2681" s="1468">
        <v>1.7762678360193831</v>
      </c>
      <c r="O2681" s="1468"/>
    </row>
    <row r="2682" spans="11:15">
      <c r="K2682" s="1465">
        <v>44739</v>
      </c>
      <c r="L2682" s="1466" t="s">
        <v>2127</v>
      </c>
      <c r="M2682" s="1467">
        <v>4.9036999999999997E-2</v>
      </c>
      <c r="N2682" s="1468">
        <v>1.7771388644781321</v>
      </c>
      <c r="O2682" s="1468"/>
    </row>
    <row r="2683" spans="11:15">
      <c r="K2683" s="1465">
        <v>44740</v>
      </c>
      <c r="L2683" s="1466" t="s">
        <v>2127</v>
      </c>
      <c r="M2683" s="1467">
        <v>4.9036999999999997E-2</v>
      </c>
      <c r="N2683" s="1468">
        <v>1.7780103200631063</v>
      </c>
      <c r="O2683" s="1468"/>
    </row>
    <row r="2684" spans="11:15">
      <c r="K2684" s="1465">
        <v>44741</v>
      </c>
      <c r="L2684" s="1466" t="s">
        <v>2127</v>
      </c>
      <c r="M2684" s="1467">
        <v>4.9036999999999997E-2</v>
      </c>
      <c r="N2684" s="1468">
        <v>1.7788822029837559</v>
      </c>
      <c r="O2684" s="1468"/>
    </row>
    <row r="2685" spans="11:15">
      <c r="K2685" s="1465">
        <v>44742</v>
      </c>
      <c r="L2685" s="1466" t="s">
        <v>2127</v>
      </c>
      <c r="M2685" s="1467">
        <v>4.9036999999999997E-2</v>
      </c>
      <c r="N2685" s="1468">
        <v>1.7797545134496331</v>
      </c>
      <c r="O2685" s="1468"/>
    </row>
    <row r="2686" spans="11:15">
      <c r="K2686" s="1465">
        <v>44743</v>
      </c>
      <c r="L2686" s="1466" t="s">
        <v>2127</v>
      </c>
      <c r="M2686" s="1467">
        <v>4.9036999999999997E-2</v>
      </c>
      <c r="N2686" s="1468">
        <v>1.7806272516703936</v>
      </c>
      <c r="O2686" s="1468"/>
    </row>
    <row r="2687" spans="11:15">
      <c r="K2687" s="1465">
        <v>44744</v>
      </c>
      <c r="L2687" s="1466"/>
      <c r="M2687" s="1467">
        <v>0</v>
      </c>
      <c r="N2687" s="1468">
        <v>1.7806272516703936</v>
      </c>
      <c r="O2687" s="1468"/>
    </row>
    <row r="2688" spans="11:15">
      <c r="K2688" s="1465">
        <v>44745</v>
      </c>
      <c r="L2688" s="1466"/>
      <c r="M2688" s="1467">
        <v>0</v>
      </c>
      <c r="N2688" s="1468">
        <v>1.7806272516703936</v>
      </c>
      <c r="O2688" s="1468"/>
    </row>
    <row r="2689" spans="11:15">
      <c r="K2689" s="1465">
        <v>44746</v>
      </c>
      <c r="L2689" s="1466" t="s">
        <v>2127</v>
      </c>
      <c r="M2689" s="1467">
        <v>4.9036999999999997E-2</v>
      </c>
      <c r="N2689" s="1468">
        <v>1.7815004178557954</v>
      </c>
      <c r="O2689" s="1468"/>
    </row>
    <row r="2690" spans="11:15">
      <c r="K2690" s="1465">
        <v>44747</v>
      </c>
      <c r="L2690" s="1466" t="s">
        <v>2127</v>
      </c>
      <c r="M2690" s="1467">
        <v>4.9036999999999997E-2</v>
      </c>
      <c r="N2690" s="1468">
        <v>1.7823740122156995</v>
      </c>
      <c r="O2690" s="1468"/>
    </row>
    <row r="2691" spans="11:15">
      <c r="K2691" s="1465">
        <v>44748</v>
      </c>
      <c r="L2691" s="1466" t="s">
        <v>2127</v>
      </c>
      <c r="M2691" s="1467">
        <v>4.9036999999999997E-2</v>
      </c>
      <c r="N2691" s="1468">
        <v>1.7832480349600699</v>
      </c>
      <c r="O2691" s="1468"/>
    </row>
    <row r="2692" spans="11:15">
      <c r="K2692" s="1465">
        <v>44749</v>
      </c>
      <c r="L2692" s="1466" t="s">
        <v>2127</v>
      </c>
      <c r="M2692" s="1467">
        <v>4.9036999999999997E-2</v>
      </c>
      <c r="N2692" s="1468">
        <v>1.7841224862989733</v>
      </c>
      <c r="O2692" s="1468"/>
    </row>
    <row r="2693" spans="11:15">
      <c r="K2693" s="1465">
        <v>44750</v>
      </c>
      <c r="L2693" s="1466" t="s">
        <v>2127</v>
      </c>
      <c r="M2693" s="1467">
        <v>4.9036999999999997E-2</v>
      </c>
      <c r="N2693" s="1468">
        <v>1.7849973664425798</v>
      </c>
      <c r="O2693" s="1468"/>
    </row>
    <row r="2694" spans="11:15">
      <c r="K2694" s="1465">
        <v>44751</v>
      </c>
      <c r="L2694" s="1466"/>
      <c r="M2694" s="1467">
        <v>0</v>
      </c>
      <c r="N2694" s="1468">
        <v>1.7849973664425798</v>
      </c>
      <c r="O2694" s="1468"/>
    </row>
    <row r="2695" spans="11:15">
      <c r="K2695" s="1465">
        <v>44752</v>
      </c>
      <c r="L2695" s="1466"/>
      <c r="M2695" s="1467">
        <v>0</v>
      </c>
      <c r="N2695" s="1468">
        <v>1.7849973664425798</v>
      </c>
      <c r="O2695" s="1468"/>
    </row>
    <row r="2696" spans="11:15">
      <c r="K2696" s="1465">
        <v>44753</v>
      </c>
      <c r="L2696" s="1466" t="s">
        <v>2127</v>
      </c>
      <c r="M2696" s="1467">
        <v>4.9036999999999997E-2</v>
      </c>
      <c r="N2696" s="1468">
        <v>1.7858726756011623</v>
      </c>
      <c r="O2696" s="1468"/>
    </row>
    <row r="2697" spans="11:15">
      <c r="K2697" s="1465">
        <v>44754</v>
      </c>
      <c r="L2697" s="1466" t="s">
        <v>2127</v>
      </c>
      <c r="M2697" s="1467">
        <v>4.9036999999999997E-2</v>
      </c>
      <c r="N2697" s="1468">
        <v>1.7867484139850969</v>
      </c>
      <c r="O2697" s="1468"/>
    </row>
    <row r="2698" spans="11:15">
      <c r="K2698" s="1465">
        <v>44755</v>
      </c>
      <c r="L2698" s="1466" t="s">
        <v>2127</v>
      </c>
      <c r="M2698" s="1467">
        <v>4.9036999999999997E-2</v>
      </c>
      <c r="N2698" s="1468">
        <v>1.7876245818048628</v>
      </c>
      <c r="O2698" s="1468"/>
    </row>
    <row r="2699" spans="11:15">
      <c r="K2699" s="1465">
        <v>44756</v>
      </c>
      <c r="L2699" s="1466" t="s">
        <v>2127</v>
      </c>
      <c r="M2699" s="1467">
        <v>4.9036999999999997E-2</v>
      </c>
      <c r="N2699" s="1468">
        <v>1.7885011792710426</v>
      </c>
      <c r="O2699" s="1468"/>
    </row>
    <row r="2700" spans="11:15">
      <c r="K2700" s="1465">
        <v>44757</v>
      </c>
      <c r="L2700" s="1466" t="s">
        <v>2127</v>
      </c>
      <c r="M2700" s="1467">
        <v>4.9036999999999997E-2</v>
      </c>
      <c r="N2700" s="1468">
        <v>1.7893782065943218</v>
      </c>
      <c r="O2700" s="1468"/>
    </row>
    <row r="2701" spans="11:15">
      <c r="K2701" s="1465">
        <v>44758</v>
      </c>
      <c r="L2701" s="1466"/>
      <c r="M2701" s="1467">
        <v>0</v>
      </c>
      <c r="N2701" s="1468">
        <v>1.7893782065943218</v>
      </c>
      <c r="O2701" s="1468"/>
    </row>
    <row r="2702" spans="11:15">
      <c r="K2702" s="1465">
        <v>44759</v>
      </c>
      <c r="L2702" s="1466"/>
      <c r="M2702" s="1467">
        <v>0</v>
      </c>
      <c r="N2702" s="1468">
        <v>1.7893782065943218</v>
      </c>
      <c r="O2702" s="1468"/>
    </row>
    <row r="2703" spans="11:15">
      <c r="K2703" s="1465">
        <v>44760</v>
      </c>
      <c r="L2703" s="1466" t="s">
        <v>2127</v>
      </c>
      <c r="M2703" s="1467">
        <v>4.9036999999999997E-2</v>
      </c>
      <c r="N2703" s="1468">
        <v>1.7902556639854896</v>
      </c>
      <c r="O2703" s="1468"/>
    </row>
    <row r="2704" spans="11:15">
      <c r="K2704" s="1465">
        <v>44761</v>
      </c>
      <c r="L2704" s="1466" t="s">
        <v>2127</v>
      </c>
      <c r="M2704" s="1467">
        <v>4.9036999999999997E-2</v>
      </c>
      <c r="N2704" s="1468">
        <v>1.7911335516554383</v>
      </c>
      <c r="O2704" s="1468"/>
    </row>
    <row r="2705" spans="11:15">
      <c r="K2705" s="1465">
        <v>44762</v>
      </c>
      <c r="L2705" s="1466" t="s">
        <v>2127</v>
      </c>
      <c r="M2705" s="1467">
        <v>4.9036999999999997E-2</v>
      </c>
      <c r="N2705" s="1468">
        <v>1.7920118698151637</v>
      </c>
      <c r="O2705" s="1468"/>
    </row>
    <row r="2706" spans="11:15">
      <c r="K2706" s="1465">
        <v>44763</v>
      </c>
      <c r="L2706" s="1466" t="s">
        <v>2127</v>
      </c>
      <c r="M2706" s="1467">
        <v>4.9036999999999997E-2</v>
      </c>
      <c r="N2706" s="1468">
        <v>1.7928906186757652</v>
      </c>
      <c r="O2706" s="1468"/>
    </row>
    <row r="2707" spans="11:15">
      <c r="K2707" s="1465">
        <v>44764</v>
      </c>
      <c r="L2707" s="1466" t="s">
        <v>2127</v>
      </c>
      <c r="M2707" s="1467">
        <v>4.9036999999999997E-2</v>
      </c>
      <c r="N2707" s="1468">
        <v>1.7937697984484453</v>
      </c>
      <c r="O2707" s="1468"/>
    </row>
    <row r="2708" spans="11:15">
      <c r="K2708" s="1465">
        <v>44765</v>
      </c>
      <c r="L2708" s="1466"/>
      <c r="M2708" s="1467">
        <v>0</v>
      </c>
      <c r="N2708" s="1468">
        <v>1.7937697984484453</v>
      </c>
      <c r="O2708" s="1468"/>
    </row>
    <row r="2709" spans="11:15">
      <c r="K2709" s="1465">
        <v>44766</v>
      </c>
      <c r="L2709" s="1466"/>
      <c r="M2709" s="1467">
        <v>0</v>
      </c>
      <c r="N2709" s="1468">
        <v>1.7937697984484453</v>
      </c>
      <c r="O2709" s="1468"/>
    </row>
    <row r="2710" spans="11:15">
      <c r="K2710" s="1465">
        <v>44767</v>
      </c>
      <c r="L2710" s="1466" t="s">
        <v>2127</v>
      </c>
      <c r="M2710" s="1467">
        <v>4.9036999999999997E-2</v>
      </c>
      <c r="N2710" s="1468">
        <v>1.7946494093445107</v>
      </c>
      <c r="O2710" s="1468"/>
    </row>
    <row r="2711" spans="11:15">
      <c r="K2711" s="1465">
        <v>44768</v>
      </c>
      <c r="L2711" s="1466" t="s">
        <v>2127</v>
      </c>
      <c r="M2711" s="1467">
        <v>4.9036999999999997E-2</v>
      </c>
      <c r="N2711" s="1468">
        <v>1.795529451575371</v>
      </c>
      <c r="O2711" s="1468"/>
    </row>
    <row r="2712" spans="11:15">
      <c r="K2712" s="1465">
        <v>44769</v>
      </c>
      <c r="L2712" s="1466" t="s">
        <v>2127</v>
      </c>
      <c r="M2712" s="1467">
        <v>4.9036999999999997E-2</v>
      </c>
      <c r="N2712" s="1468">
        <v>1.7964099253525401</v>
      </c>
      <c r="O2712" s="1468"/>
    </row>
    <row r="2713" spans="11:15">
      <c r="K2713" s="1465">
        <v>44770</v>
      </c>
      <c r="L2713" s="1466" t="s">
        <v>2127</v>
      </c>
      <c r="M2713" s="1467">
        <v>4.9036999999999997E-2</v>
      </c>
      <c r="N2713" s="1468">
        <v>1.7972908308876354</v>
      </c>
      <c r="O2713" s="1468"/>
    </row>
    <row r="2714" spans="11:15">
      <c r="K2714" s="1465">
        <v>44771</v>
      </c>
      <c r="L2714" s="1466" t="s">
        <v>2127</v>
      </c>
      <c r="M2714" s="1467">
        <v>4.9036999999999997E-2</v>
      </c>
      <c r="N2714" s="1468">
        <v>1.7981721683923779</v>
      </c>
      <c r="O2714" s="1468"/>
    </row>
    <row r="2715" spans="11:15">
      <c r="K2715" s="1465">
        <v>44772</v>
      </c>
      <c r="L2715" s="1466"/>
      <c r="M2715" s="1467">
        <v>0</v>
      </c>
      <c r="N2715" s="1468">
        <v>1.7981721683923779</v>
      </c>
      <c r="O2715" s="1468"/>
    </row>
    <row r="2716" spans="11:15">
      <c r="K2716" s="1465">
        <v>44773</v>
      </c>
      <c r="L2716" s="1466"/>
      <c r="M2716" s="1467">
        <v>0</v>
      </c>
      <c r="N2716" s="1468">
        <v>1.7981721683923779</v>
      </c>
      <c r="O2716" s="1468"/>
    </row>
    <row r="2717" spans="11:15">
      <c r="K2717" s="1465">
        <v>44774</v>
      </c>
      <c r="L2717" s="1466" t="s">
        <v>2127</v>
      </c>
      <c r="M2717" s="1467">
        <v>4.9036999999999997E-2</v>
      </c>
      <c r="N2717" s="1468">
        <v>1.7990539380785926</v>
      </c>
      <c r="O2717" s="1468"/>
    </row>
    <row r="2718" spans="11:15">
      <c r="K2718" s="1465">
        <v>44775</v>
      </c>
      <c r="L2718" s="1466" t="s">
        <v>2127</v>
      </c>
      <c r="M2718" s="1467">
        <v>4.9036999999999997E-2</v>
      </c>
      <c r="N2718" s="1468">
        <v>1.7999361401582084</v>
      </c>
      <c r="O2718" s="1468"/>
    </row>
    <row r="2719" spans="11:15">
      <c r="K2719" s="1465">
        <v>44776</v>
      </c>
      <c r="L2719" s="1466" t="s">
        <v>2127</v>
      </c>
      <c r="M2719" s="1467">
        <v>4.9036999999999997E-2</v>
      </c>
      <c r="N2719" s="1468">
        <v>1.8008187748432578</v>
      </c>
      <c r="O2719" s="1468"/>
    </row>
    <row r="2720" spans="11:15">
      <c r="K2720" s="1465">
        <v>44777</v>
      </c>
      <c r="L2720" s="1466" t="s">
        <v>2127</v>
      </c>
      <c r="M2720" s="1467">
        <v>5.0788E-2</v>
      </c>
      <c r="N2720" s="1468">
        <v>1.8017333746826252</v>
      </c>
      <c r="O2720" s="1468"/>
    </row>
    <row r="2721" spans="11:15">
      <c r="K2721" s="1465">
        <v>44778</v>
      </c>
      <c r="L2721" s="1466" t="s">
        <v>2127</v>
      </c>
      <c r="M2721" s="1467">
        <v>5.0788E-2</v>
      </c>
      <c r="N2721" s="1468">
        <v>1.802648439028959</v>
      </c>
      <c r="O2721" s="1468"/>
    </row>
    <row r="2722" spans="11:15">
      <c r="K2722" s="1465">
        <v>44779</v>
      </c>
      <c r="L2722" s="1466"/>
      <c r="M2722" s="1467">
        <v>0</v>
      </c>
      <c r="N2722" s="1468">
        <v>1.802648439028959</v>
      </c>
      <c r="O2722" s="1468"/>
    </row>
    <row r="2723" spans="11:15">
      <c r="K2723" s="1465">
        <v>44780</v>
      </c>
      <c r="L2723" s="1466"/>
      <c r="M2723" s="1467">
        <v>0</v>
      </c>
      <c r="N2723" s="1468">
        <v>1.802648439028959</v>
      </c>
      <c r="O2723" s="1468"/>
    </row>
    <row r="2724" spans="11:15">
      <c r="K2724" s="1465">
        <v>44781</v>
      </c>
      <c r="L2724" s="1466" t="s">
        <v>2127</v>
      </c>
      <c r="M2724" s="1467">
        <v>5.0788E-2</v>
      </c>
      <c r="N2724" s="1468">
        <v>1.803563968118173</v>
      </c>
      <c r="O2724" s="1468"/>
    </row>
    <row r="2725" spans="11:15">
      <c r="K2725" s="1465">
        <v>44782</v>
      </c>
      <c r="L2725" s="1466" t="s">
        <v>2127</v>
      </c>
      <c r="M2725" s="1467">
        <v>5.0788E-2</v>
      </c>
      <c r="N2725" s="1468">
        <v>1.8044799621863008</v>
      </c>
      <c r="O2725" s="1468"/>
    </row>
    <row r="2726" spans="11:15">
      <c r="K2726" s="1465">
        <v>44783</v>
      </c>
      <c r="L2726" s="1466" t="s">
        <v>2127</v>
      </c>
      <c r="M2726" s="1467">
        <v>5.0788E-2</v>
      </c>
      <c r="N2726" s="1468">
        <v>1.805396421469496</v>
      </c>
      <c r="O2726" s="1468"/>
    </row>
    <row r="2727" spans="11:15">
      <c r="K2727" s="1465">
        <v>44784</v>
      </c>
      <c r="L2727" s="1466" t="s">
        <v>2127</v>
      </c>
      <c r="M2727" s="1467">
        <v>5.0788E-2</v>
      </c>
      <c r="N2727" s="1468">
        <v>1.8063133462040319</v>
      </c>
      <c r="O2727" s="1468"/>
    </row>
    <row r="2728" spans="11:15">
      <c r="K2728" s="1465">
        <v>44785</v>
      </c>
      <c r="L2728" s="1466" t="s">
        <v>2127</v>
      </c>
      <c r="M2728" s="1467">
        <v>5.0788E-2</v>
      </c>
      <c r="N2728" s="1468">
        <v>1.8072307366263021</v>
      </c>
      <c r="O2728" s="1468"/>
    </row>
    <row r="2729" spans="11:15">
      <c r="K2729" s="1465">
        <v>44786</v>
      </c>
      <c r="L2729" s="1466"/>
      <c r="M2729" s="1467">
        <v>0</v>
      </c>
      <c r="N2729" s="1468">
        <v>1.8072307366263021</v>
      </c>
      <c r="O2729" s="1468"/>
    </row>
    <row r="2730" spans="11:15">
      <c r="K2730" s="1465">
        <v>44787</v>
      </c>
      <c r="L2730" s="1466"/>
      <c r="M2730" s="1467">
        <v>0</v>
      </c>
      <c r="N2730" s="1468">
        <v>1.8072307366263021</v>
      </c>
      <c r="O2730" s="1468"/>
    </row>
    <row r="2731" spans="11:15">
      <c r="K2731" s="1465">
        <v>44788</v>
      </c>
      <c r="L2731" s="1466" t="s">
        <v>2127</v>
      </c>
      <c r="M2731" s="1467">
        <v>5.0788E-2</v>
      </c>
      <c r="N2731" s="1468">
        <v>1.8081485929728198</v>
      </c>
      <c r="O2731" s="1468"/>
    </row>
    <row r="2732" spans="11:15">
      <c r="K2732" s="1465">
        <v>44789</v>
      </c>
      <c r="L2732" s="1466" t="s">
        <v>2127</v>
      </c>
      <c r="M2732" s="1467">
        <v>5.0788E-2</v>
      </c>
      <c r="N2732" s="1468">
        <v>1.8090669154802188</v>
      </c>
      <c r="O2732" s="1468"/>
    </row>
    <row r="2733" spans="11:15">
      <c r="K2733" s="1465">
        <v>44790</v>
      </c>
      <c r="L2733" s="1466" t="s">
        <v>2127</v>
      </c>
      <c r="M2733" s="1467">
        <v>5.0788E-2</v>
      </c>
      <c r="N2733" s="1468">
        <v>1.809985704385253</v>
      </c>
      <c r="O2733" s="1468"/>
    </row>
    <row r="2734" spans="11:15">
      <c r="K2734" s="1465">
        <v>44791</v>
      </c>
      <c r="L2734" s="1466" t="s">
        <v>2127</v>
      </c>
      <c r="M2734" s="1467">
        <v>5.0788E-2</v>
      </c>
      <c r="N2734" s="1468">
        <v>1.8109049599247962</v>
      </c>
      <c r="O2734" s="1468"/>
    </row>
    <row r="2735" spans="11:15">
      <c r="K2735" s="1465">
        <v>44792</v>
      </c>
      <c r="L2735" s="1466" t="s">
        <v>2127</v>
      </c>
      <c r="M2735" s="1467">
        <v>5.0788E-2</v>
      </c>
      <c r="N2735" s="1468">
        <v>1.8118246823358428</v>
      </c>
      <c r="O2735" s="1468"/>
    </row>
    <row r="2736" spans="11:15">
      <c r="K2736" s="1465">
        <v>44793</v>
      </c>
      <c r="L2736" s="1466"/>
      <c r="M2736" s="1467">
        <v>0</v>
      </c>
      <c r="N2736" s="1468">
        <v>1.8118246823358428</v>
      </c>
      <c r="O2736" s="1468"/>
    </row>
    <row r="2737" spans="11:15">
      <c r="K2737" s="1465">
        <v>44794</v>
      </c>
      <c r="L2737" s="1466"/>
      <c r="M2737" s="1467">
        <v>0</v>
      </c>
      <c r="N2737" s="1468">
        <v>1.8118246823358428</v>
      </c>
      <c r="O2737" s="1468"/>
    </row>
    <row r="2738" spans="11:15">
      <c r="K2738" s="1465">
        <v>44795</v>
      </c>
      <c r="L2738" s="1466" t="s">
        <v>2127</v>
      </c>
      <c r="M2738" s="1467">
        <v>5.0788E-2</v>
      </c>
      <c r="N2738" s="1468">
        <v>1.8127448718555075</v>
      </c>
      <c r="O2738" s="1468"/>
    </row>
    <row r="2739" spans="11:15">
      <c r="K2739" s="1465">
        <v>44796</v>
      </c>
      <c r="L2739" s="1466" t="s">
        <v>2127</v>
      </c>
      <c r="M2739" s="1467">
        <v>5.0788E-2</v>
      </c>
      <c r="N2739" s="1468">
        <v>1.8136655287210255</v>
      </c>
      <c r="O2739" s="1468"/>
    </row>
    <row r="2740" spans="11:15">
      <c r="K2740" s="1465">
        <v>44797</v>
      </c>
      <c r="L2740" s="1466" t="s">
        <v>2127</v>
      </c>
      <c r="M2740" s="1467">
        <v>5.0788E-2</v>
      </c>
      <c r="N2740" s="1468">
        <v>1.8145866531697523</v>
      </c>
      <c r="O2740" s="1468"/>
    </row>
    <row r="2741" spans="11:15">
      <c r="K2741" s="1465">
        <v>44798</v>
      </c>
      <c r="L2741" s="1466" t="s">
        <v>2127</v>
      </c>
      <c r="M2741" s="1467">
        <v>5.0788E-2</v>
      </c>
      <c r="N2741" s="1468">
        <v>1.8155082454391642</v>
      </c>
      <c r="O2741" s="1468"/>
    </row>
    <row r="2742" spans="11:15">
      <c r="K2742" s="1465">
        <v>44799</v>
      </c>
      <c r="L2742" s="1466" t="s">
        <v>2127</v>
      </c>
      <c r="M2742" s="1467">
        <v>5.0788E-2</v>
      </c>
      <c r="N2742" s="1468">
        <v>1.8164303057668578</v>
      </c>
      <c r="O2742" s="1468"/>
    </row>
    <row r="2743" spans="11:15">
      <c r="K2743" s="1465">
        <v>44800</v>
      </c>
      <c r="L2743" s="1466"/>
      <c r="M2743" s="1467">
        <v>0</v>
      </c>
      <c r="N2743" s="1468">
        <v>1.8164303057668578</v>
      </c>
      <c r="O2743" s="1468"/>
    </row>
    <row r="2744" spans="11:15">
      <c r="K2744" s="1465">
        <v>44801</v>
      </c>
      <c r="L2744" s="1466"/>
      <c r="M2744" s="1467">
        <v>0</v>
      </c>
      <c r="N2744" s="1468">
        <v>1.8164303057668578</v>
      </c>
      <c r="O2744" s="1468"/>
    </row>
    <row r="2745" spans="11:15">
      <c r="K2745" s="1465">
        <v>44802</v>
      </c>
      <c r="L2745" s="1466" t="s">
        <v>2127</v>
      </c>
      <c r="M2745" s="1467">
        <v>5.0788E-2</v>
      </c>
      <c r="N2745" s="1468">
        <v>1.8173528343905507</v>
      </c>
      <c r="O2745" s="1468"/>
    </row>
    <row r="2746" spans="11:15">
      <c r="K2746" s="1465">
        <v>44803</v>
      </c>
      <c r="L2746" s="1466" t="s">
        <v>2127</v>
      </c>
      <c r="M2746" s="1467">
        <v>5.0788E-2</v>
      </c>
      <c r="N2746" s="1468">
        <v>1.8182758315480809</v>
      </c>
      <c r="O2746" s="1468"/>
    </row>
    <row r="2747" spans="11:15">
      <c r="K2747" s="1465">
        <v>44804</v>
      </c>
      <c r="L2747" s="1466" t="s">
        <v>2127</v>
      </c>
      <c r="M2747" s="1467">
        <v>5.0788E-2</v>
      </c>
      <c r="N2747" s="1468">
        <v>1.8191992974774076</v>
      </c>
      <c r="O2747" s="1468"/>
    </row>
    <row r="2748" spans="11:15">
      <c r="K2748" s="1465">
        <v>44805</v>
      </c>
      <c r="L2748" s="1466" t="s">
        <v>2127</v>
      </c>
      <c r="M2748" s="1467">
        <v>5.0788E-2</v>
      </c>
      <c r="N2748" s="1468">
        <v>1.8201232324166106</v>
      </c>
      <c r="O2748" s="1468"/>
    </row>
    <row r="2749" spans="11:15">
      <c r="K2749" s="1465">
        <v>44806</v>
      </c>
      <c r="L2749" s="1466" t="s">
        <v>2127</v>
      </c>
      <c r="M2749" s="1467">
        <v>5.0788E-2</v>
      </c>
      <c r="N2749" s="1468">
        <v>1.8210476366038904</v>
      </c>
      <c r="O2749" s="1468"/>
    </row>
    <row r="2750" spans="11:15">
      <c r="K2750" s="1465">
        <v>44807</v>
      </c>
      <c r="L2750" s="1466"/>
      <c r="M2750" s="1467">
        <v>0</v>
      </c>
      <c r="N2750" s="1468">
        <v>1.8210476366038904</v>
      </c>
      <c r="O2750" s="1468"/>
    </row>
    <row r="2751" spans="11:15">
      <c r="K2751" s="1465">
        <v>44808</v>
      </c>
      <c r="L2751" s="1466"/>
      <c r="M2751" s="1467">
        <v>0</v>
      </c>
      <c r="N2751" s="1468">
        <v>1.8210476366038904</v>
      </c>
      <c r="O2751" s="1468"/>
    </row>
    <row r="2752" spans="11:15">
      <c r="K2752" s="1465">
        <v>44809</v>
      </c>
      <c r="L2752" s="1466" t="s">
        <v>2127</v>
      </c>
      <c r="M2752" s="1467">
        <v>5.0788E-2</v>
      </c>
      <c r="N2752" s="1468">
        <v>1.8219725102775688</v>
      </c>
      <c r="O2752" s="1468"/>
    </row>
    <row r="2753" spans="11:15">
      <c r="K2753" s="1465">
        <v>44810</v>
      </c>
      <c r="L2753" s="1466" t="s">
        <v>2127</v>
      </c>
      <c r="M2753" s="1467">
        <v>5.0788E-2</v>
      </c>
      <c r="N2753" s="1468">
        <v>1.8228978536760887</v>
      </c>
      <c r="O2753" s="1468"/>
    </row>
    <row r="2754" spans="11:15">
      <c r="K2754" s="1465">
        <v>44811</v>
      </c>
      <c r="L2754" s="1466"/>
      <c r="M2754" s="1467">
        <v>0</v>
      </c>
      <c r="N2754" s="1468">
        <v>1.8228978536760887</v>
      </c>
      <c r="O2754" s="1468"/>
    </row>
    <row r="2755" spans="11:15">
      <c r="K2755" s="1465">
        <v>44812</v>
      </c>
      <c r="L2755" s="1466" t="s">
        <v>2127</v>
      </c>
      <c r="M2755" s="1467">
        <v>5.0788E-2</v>
      </c>
      <c r="N2755" s="1468">
        <v>1.8238236670380137</v>
      </c>
      <c r="O2755" s="1468"/>
    </row>
    <row r="2756" spans="11:15">
      <c r="K2756" s="1465">
        <v>44813</v>
      </c>
      <c r="L2756" s="1466" t="s">
        <v>2127</v>
      </c>
      <c r="M2756" s="1467">
        <v>5.0788E-2</v>
      </c>
      <c r="N2756" s="1468">
        <v>1.824749950602029</v>
      </c>
      <c r="O2756" s="1468"/>
    </row>
    <row r="2757" spans="11:15">
      <c r="K2757" s="1465">
        <v>44814</v>
      </c>
      <c r="L2757" s="1466"/>
      <c r="M2757" s="1467">
        <v>0</v>
      </c>
      <c r="N2757" s="1468">
        <v>1.824749950602029</v>
      </c>
      <c r="O2757" s="1468"/>
    </row>
    <row r="2758" spans="11:15">
      <c r="K2758" s="1465">
        <v>44815</v>
      </c>
      <c r="L2758" s="1466"/>
      <c r="M2758" s="1467">
        <v>0</v>
      </c>
      <c r="N2758" s="1468">
        <v>1.824749950602029</v>
      </c>
      <c r="O2758" s="1468"/>
    </row>
    <row r="2759" spans="11:15">
      <c r="K2759" s="1465">
        <v>44816</v>
      </c>
      <c r="L2759" s="1466" t="s">
        <v>2127</v>
      </c>
      <c r="M2759" s="1467">
        <v>5.0788E-2</v>
      </c>
      <c r="N2759" s="1468">
        <v>1.8256767046069409</v>
      </c>
      <c r="O2759" s="1468"/>
    </row>
    <row r="2760" spans="11:15">
      <c r="K2760" s="1465">
        <v>44817</v>
      </c>
      <c r="L2760" s="1466" t="s">
        <v>2127</v>
      </c>
      <c r="M2760" s="1467">
        <v>5.0788E-2</v>
      </c>
      <c r="N2760" s="1468">
        <v>1.8266039292916767</v>
      </c>
      <c r="O2760" s="1468"/>
    </row>
    <row r="2761" spans="11:15">
      <c r="K2761" s="1465">
        <v>44818</v>
      </c>
      <c r="L2761" s="1466" t="s">
        <v>2127</v>
      </c>
      <c r="M2761" s="1467">
        <v>5.0788E-2</v>
      </c>
      <c r="N2761" s="1468">
        <v>1.8275316248952853</v>
      </c>
      <c r="O2761" s="1468"/>
    </row>
    <row r="2762" spans="11:15">
      <c r="K2762" s="1465">
        <v>44819</v>
      </c>
      <c r="L2762" s="1466" t="s">
        <v>2127</v>
      </c>
      <c r="M2762" s="1467">
        <v>5.0788E-2</v>
      </c>
      <c r="N2762" s="1468">
        <v>1.8284597916569372</v>
      </c>
      <c r="O2762" s="1468"/>
    </row>
    <row r="2763" spans="11:15">
      <c r="K2763" s="1465">
        <v>44820</v>
      </c>
      <c r="L2763" s="1466" t="s">
        <v>2127</v>
      </c>
      <c r="M2763" s="1467">
        <v>5.0788E-2</v>
      </c>
      <c r="N2763" s="1468">
        <v>1.829388429815924</v>
      </c>
      <c r="O2763" s="1468"/>
    </row>
    <row r="2764" spans="11:15">
      <c r="K2764" s="1465">
        <v>44821</v>
      </c>
      <c r="L2764" s="1466"/>
      <c r="M2764" s="1467">
        <v>0</v>
      </c>
      <c r="N2764" s="1468">
        <v>1.829388429815924</v>
      </c>
      <c r="O2764" s="1468"/>
    </row>
    <row r="2765" spans="11:15">
      <c r="K2765" s="1465">
        <v>44822</v>
      </c>
      <c r="L2765" s="1466"/>
      <c r="M2765" s="1467">
        <v>0</v>
      </c>
      <c r="N2765" s="1468">
        <v>1.829388429815924</v>
      </c>
      <c r="O2765" s="1468"/>
    </row>
    <row r="2766" spans="11:15">
      <c r="K2766" s="1465">
        <v>44823</v>
      </c>
      <c r="L2766" s="1466" t="s">
        <v>2127</v>
      </c>
      <c r="M2766" s="1467">
        <v>5.0788E-2</v>
      </c>
      <c r="N2766" s="1468">
        <v>1.8303175396116589</v>
      </c>
      <c r="O2766" s="1468"/>
    </row>
    <row r="2767" spans="11:15">
      <c r="K2767" s="1465">
        <v>44824</v>
      </c>
      <c r="L2767" s="1466" t="s">
        <v>2127</v>
      </c>
      <c r="M2767" s="1467">
        <v>5.0788E-2</v>
      </c>
      <c r="N2767" s="1468">
        <v>1.8312471212836769</v>
      </c>
      <c r="O2767" s="1468"/>
    </row>
    <row r="2768" spans="11:15">
      <c r="K2768" s="1465">
        <v>44825</v>
      </c>
      <c r="L2768" s="1466" t="s">
        <v>2127</v>
      </c>
      <c r="M2768" s="1467">
        <v>5.0788E-2</v>
      </c>
      <c r="N2768" s="1468">
        <v>1.8321771750716345</v>
      </c>
      <c r="O2768" s="1468"/>
    </row>
    <row r="2769" spans="11:15">
      <c r="K2769" s="1465">
        <v>44826</v>
      </c>
      <c r="L2769" s="1466" t="s">
        <v>2127</v>
      </c>
      <c r="M2769" s="1467">
        <v>5.0788E-2</v>
      </c>
      <c r="N2769" s="1468">
        <v>1.8331077012153099</v>
      </c>
      <c r="O2769" s="1468"/>
    </row>
    <row r="2770" spans="11:15">
      <c r="K2770" s="1465">
        <v>44827</v>
      </c>
      <c r="L2770" s="1466" t="s">
        <v>2127</v>
      </c>
      <c r="M2770" s="1467">
        <v>5.0788E-2</v>
      </c>
      <c r="N2770" s="1468">
        <v>1.8340386999546032</v>
      </c>
      <c r="O2770" s="1468"/>
    </row>
    <row r="2771" spans="11:15">
      <c r="K2771" s="1465">
        <v>44828</v>
      </c>
      <c r="L2771" s="1466"/>
      <c r="M2771" s="1467">
        <v>0</v>
      </c>
      <c r="N2771" s="1468">
        <v>1.8340386999546032</v>
      </c>
      <c r="O2771" s="1468"/>
    </row>
    <row r="2772" spans="11:15">
      <c r="K2772" s="1465">
        <v>44829</v>
      </c>
      <c r="L2772" s="1466"/>
      <c r="M2772" s="1467">
        <v>0</v>
      </c>
      <c r="N2772" s="1468">
        <v>1.8340386999546032</v>
      </c>
      <c r="O2772" s="1468"/>
    </row>
    <row r="2773" spans="11:15">
      <c r="K2773" s="1465">
        <v>44830</v>
      </c>
      <c r="L2773" s="1466" t="s">
        <v>2127</v>
      </c>
      <c r="M2773" s="1467">
        <v>5.0788E-2</v>
      </c>
      <c r="N2773" s="1468">
        <v>1.8349701715295361</v>
      </c>
      <c r="O2773" s="1468"/>
    </row>
    <row r="2774" spans="11:15">
      <c r="K2774" s="1465">
        <v>44831</v>
      </c>
      <c r="L2774" s="1466" t="s">
        <v>2127</v>
      </c>
      <c r="M2774" s="1467">
        <v>5.0788E-2</v>
      </c>
      <c r="N2774" s="1468">
        <v>1.8359021161802527</v>
      </c>
      <c r="O2774" s="1468"/>
    </row>
    <row r="2775" spans="11:15">
      <c r="K2775" s="1465">
        <v>44832</v>
      </c>
      <c r="L2775" s="1466" t="s">
        <v>2127</v>
      </c>
      <c r="M2775" s="1467">
        <v>5.0788E-2</v>
      </c>
      <c r="N2775" s="1468">
        <v>1.8368345341470182</v>
      </c>
      <c r="O2775" s="1468"/>
    </row>
    <row r="2776" spans="11:15">
      <c r="K2776" s="1465">
        <v>44833</v>
      </c>
      <c r="L2776" s="1466" t="s">
        <v>2127</v>
      </c>
      <c r="M2776" s="1467">
        <v>5.0788E-2</v>
      </c>
      <c r="N2776" s="1468">
        <v>1.8377674256702208</v>
      </c>
      <c r="O2776" s="1468"/>
    </row>
    <row r="2777" spans="11:15">
      <c r="K2777" s="1465">
        <v>44834</v>
      </c>
      <c r="L2777" s="1466" t="s">
        <v>2127</v>
      </c>
      <c r="M2777" s="1467">
        <v>5.0788E-2</v>
      </c>
      <c r="N2777" s="1468">
        <v>1.8387007909903701</v>
      </c>
      <c r="O2777" s="1468"/>
    </row>
    <row r="2778" spans="11:15">
      <c r="K2778" s="1465">
        <v>44835</v>
      </c>
      <c r="L2778" s="1466"/>
      <c r="M2778" s="1467">
        <v>0</v>
      </c>
      <c r="N2778" s="1468">
        <v>1.8387007909903701</v>
      </c>
      <c r="O2778" s="1468"/>
    </row>
    <row r="2779" spans="11:15">
      <c r="K2779" s="1465">
        <v>44836</v>
      </c>
      <c r="L2779" s="1466"/>
      <c r="M2779" s="1467">
        <v>0</v>
      </c>
      <c r="N2779" s="1468">
        <v>1.8387007909903701</v>
      </c>
      <c r="O2779" s="1468"/>
    </row>
    <row r="2780" spans="11:15">
      <c r="K2780" s="1465">
        <v>44837</v>
      </c>
      <c r="L2780" s="1466" t="s">
        <v>2127</v>
      </c>
      <c r="M2780" s="1467">
        <v>5.0788E-2</v>
      </c>
      <c r="N2780" s="1468">
        <v>1.8396346303480984</v>
      </c>
      <c r="O2780" s="1468"/>
    </row>
    <row r="2781" spans="11:15">
      <c r="K2781" s="1465">
        <v>44838</v>
      </c>
      <c r="L2781" s="1466" t="s">
        <v>2127</v>
      </c>
      <c r="M2781" s="1467">
        <v>5.0788E-2</v>
      </c>
      <c r="N2781" s="1468">
        <v>1.8405689439841595</v>
      </c>
      <c r="O2781" s="1468"/>
    </row>
    <row r="2782" spans="11:15">
      <c r="K2782" s="1465">
        <v>44839</v>
      </c>
      <c r="L2782" s="1466" t="s">
        <v>2127</v>
      </c>
      <c r="M2782" s="1467">
        <v>5.0788E-2</v>
      </c>
      <c r="N2782" s="1468">
        <v>1.8415037321394301</v>
      </c>
      <c r="O2782" s="1468"/>
    </row>
    <row r="2783" spans="11:15">
      <c r="K2783" s="1465">
        <v>44840</v>
      </c>
      <c r="L2783" s="1466" t="s">
        <v>2127</v>
      </c>
      <c r="M2783" s="1467">
        <v>5.0788E-2</v>
      </c>
      <c r="N2783" s="1468">
        <v>1.8424389950549092</v>
      </c>
      <c r="O2783" s="1468"/>
    </row>
    <row r="2784" spans="11:15">
      <c r="K2784" s="1465">
        <v>44841</v>
      </c>
      <c r="L2784" s="1466" t="s">
        <v>2127</v>
      </c>
      <c r="M2784" s="1467">
        <v>5.0788E-2</v>
      </c>
      <c r="N2784" s="1468">
        <v>1.8433747329717176</v>
      </c>
      <c r="O2784" s="1468"/>
    </row>
    <row r="2785" spans="11:15">
      <c r="K2785" s="1465">
        <v>44842</v>
      </c>
      <c r="L2785" s="1466"/>
      <c r="M2785" s="1467">
        <v>0</v>
      </c>
      <c r="N2785" s="1468">
        <v>1.8433747329717176</v>
      </c>
      <c r="O2785" s="1468"/>
    </row>
    <row r="2786" spans="11:15">
      <c r="K2786" s="1465">
        <v>44843</v>
      </c>
      <c r="L2786" s="1466"/>
      <c r="M2786" s="1467">
        <v>0</v>
      </c>
      <c r="N2786" s="1468">
        <v>1.8433747329717176</v>
      </c>
      <c r="O2786" s="1468"/>
    </row>
    <row r="2787" spans="11:15">
      <c r="K2787" s="1465">
        <v>44844</v>
      </c>
      <c r="L2787" s="1466" t="s">
        <v>2127</v>
      </c>
      <c r="M2787" s="1467">
        <v>5.0788E-2</v>
      </c>
      <c r="N2787" s="1468">
        <v>1.8443109461310994</v>
      </c>
      <c r="O2787" s="1468"/>
    </row>
    <row r="2788" spans="11:15">
      <c r="K2788" s="1465">
        <v>44845</v>
      </c>
      <c r="L2788" s="1466" t="s">
        <v>2127</v>
      </c>
      <c r="M2788" s="1467">
        <v>5.0788E-2</v>
      </c>
      <c r="N2788" s="1468">
        <v>1.8452476347744204</v>
      </c>
      <c r="O2788" s="1468"/>
    </row>
    <row r="2789" spans="11:15">
      <c r="K2789" s="1465">
        <v>44846</v>
      </c>
      <c r="L2789" s="1466"/>
      <c r="M2789" s="1467">
        <v>0</v>
      </c>
      <c r="N2789" s="1468">
        <v>1.8452476347744204</v>
      </c>
      <c r="O2789" s="1468"/>
    </row>
    <row r="2790" spans="11:15">
      <c r="K2790" s="1465">
        <v>44847</v>
      </c>
      <c r="L2790" s="1466" t="s">
        <v>2127</v>
      </c>
      <c r="M2790" s="1467">
        <v>5.0788E-2</v>
      </c>
      <c r="N2790" s="1468">
        <v>1.8461847991431697</v>
      </c>
      <c r="O2790" s="1468"/>
    </row>
    <row r="2791" spans="11:15">
      <c r="K2791" s="1465">
        <v>44848</v>
      </c>
      <c r="L2791" s="1466" t="s">
        <v>2127</v>
      </c>
      <c r="M2791" s="1467">
        <v>5.0788E-2</v>
      </c>
      <c r="N2791" s="1468">
        <v>1.8471224394789585</v>
      </c>
      <c r="O2791" s="1468"/>
    </row>
    <row r="2792" spans="11:15">
      <c r="K2792" s="1465">
        <v>44849</v>
      </c>
      <c r="L2792" s="1466"/>
      <c r="M2792" s="1467">
        <v>0</v>
      </c>
      <c r="N2792" s="1468">
        <v>1.8471224394789585</v>
      </c>
      <c r="O2792" s="1468"/>
    </row>
    <row r="2793" spans="11:15">
      <c r="K2793" s="1465">
        <v>44850</v>
      </c>
      <c r="L2793" s="1466"/>
      <c r="M2793" s="1467">
        <v>0</v>
      </c>
      <c r="N2793" s="1468">
        <v>1.8471224394789585</v>
      </c>
      <c r="O2793" s="1468"/>
    </row>
    <row r="2794" spans="11:15">
      <c r="K2794" s="1465">
        <v>44851</v>
      </c>
      <c r="L2794" s="1466" t="s">
        <v>2127</v>
      </c>
      <c r="M2794" s="1467">
        <v>5.0788E-2</v>
      </c>
      <c r="N2794" s="1468">
        <v>1.848060556023521</v>
      </c>
      <c r="O2794" s="1468"/>
    </row>
    <row r="2795" spans="11:15">
      <c r="K2795" s="1465">
        <v>44852</v>
      </c>
      <c r="L2795" s="1466" t="s">
        <v>2127</v>
      </c>
      <c r="M2795" s="1467">
        <v>5.0788E-2</v>
      </c>
      <c r="N2795" s="1468">
        <v>1.8489991490187143</v>
      </c>
      <c r="O2795" s="1468"/>
    </row>
    <row r="2796" spans="11:15">
      <c r="K2796" s="1465">
        <v>44853</v>
      </c>
      <c r="L2796" s="1466" t="s">
        <v>2127</v>
      </c>
      <c r="M2796" s="1467">
        <v>5.0788E-2</v>
      </c>
      <c r="N2796" s="1468">
        <v>1.8499382187065179</v>
      </c>
      <c r="O2796" s="1468"/>
    </row>
    <row r="2797" spans="11:15">
      <c r="K2797" s="1465">
        <v>44854</v>
      </c>
      <c r="L2797" s="1466" t="s">
        <v>2127</v>
      </c>
      <c r="M2797" s="1467">
        <v>5.0788E-2</v>
      </c>
      <c r="N2797" s="1468">
        <v>1.8508777653290345</v>
      </c>
      <c r="O2797" s="1468"/>
    </row>
    <row r="2798" spans="11:15">
      <c r="K2798" s="1465">
        <v>44855</v>
      </c>
      <c r="L2798" s="1466" t="s">
        <v>2127</v>
      </c>
      <c r="M2798" s="1467">
        <v>5.0788E-2</v>
      </c>
      <c r="N2798" s="1468">
        <v>1.8518177891284897</v>
      </c>
      <c r="O2798" s="1468"/>
    </row>
    <row r="2799" spans="11:15">
      <c r="K2799" s="1465">
        <v>44856</v>
      </c>
      <c r="L2799" s="1466"/>
      <c r="M2799" s="1467">
        <v>0</v>
      </c>
      <c r="N2799" s="1468">
        <v>1.8518177891284897</v>
      </c>
      <c r="O2799" s="1468"/>
    </row>
    <row r="2800" spans="11:15">
      <c r="K2800" s="1465">
        <v>44857</v>
      </c>
      <c r="L2800" s="1466"/>
      <c r="M2800" s="1467">
        <v>0</v>
      </c>
      <c r="N2800" s="1468">
        <v>1.8518177891284897</v>
      </c>
      <c r="O2800" s="1468"/>
    </row>
    <row r="2801" spans="11:15">
      <c r="K2801" s="1465">
        <v>44858</v>
      </c>
      <c r="L2801" s="1466" t="s">
        <v>2127</v>
      </c>
      <c r="M2801" s="1467">
        <v>5.0788E-2</v>
      </c>
      <c r="N2801" s="1468">
        <v>1.8527582903472324</v>
      </c>
      <c r="O2801" s="1468"/>
    </row>
    <row r="2802" spans="11:15">
      <c r="K2802" s="1465">
        <v>44859</v>
      </c>
      <c r="L2802" s="1466" t="s">
        <v>2127</v>
      </c>
      <c r="M2802" s="1467">
        <v>5.0788E-2</v>
      </c>
      <c r="N2802" s="1468">
        <v>1.8536992692277339</v>
      </c>
      <c r="O2802" s="1468"/>
    </row>
    <row r="2803" spans="11:15">
      <c r="K2803" s="1465">
        <v>44860</v>
      </c>
      <c r="L2803" s="1466" t="s">
        <v>2127</v>
      </c>
      <c r="M2803" s="1467">
        <v>5.0788E-2</v>
      </c>
      <c r="N2803" s="1468">
        <v>1.8546407260125892</v>
      </c>
      <c r="O2803" s="1468"/>
    </row>
    <row r="2804" spans="11:15">
      <c r="K2804" s="1465">
        <v>44861</v>
      </c>
      <c r="L2804" s="1466" t="s">
        <v>2127</v>
      </c>
      <c r="M2804" s="1467">
        <v>5.0788E-2</v>
      </c>
      <c r="N2804" s="1468">
        <v>1.8555826609445165</v>
      </c>
      <c r="O2804" s="1468"/>
    </row>
    <row r="2805" spans="11:15">
      <c r="K2805" s="1465">
        <v>44862</v>
      </c>
      <c r="L2805" s="1466" t="s">
        <v>2127</v>
      </c>
      <c r="M2805" s="1467">
        <v>5.0788E-2</v>
      </c>
      <c r="N2805" s="1468">
        <v>1.856525074266357</v>
      </c>
      <c r="O2805" s="1468"/>
    </row>
    <row r="2806" spans="11:15">
      <c r="K2806" s="1465">
        <v>44863</v>
      </c>
      <c r="L2806" s="1466"/>
      <c r="M2806" s="1467">
        <v>0</v>
      </c>
      <c r="N2806" s="1468">
        <v>1.856525074266357</v>
      </c>
      <c r="O2806" s="1468"/>
    </row>
    <row r="2807" spans="11:15">
      <c r="K2807" s="1465">
        <v>44864</v>
      </c>
      <c r="L2807" s="1466"/>
      <c r="M2807" s="1467">
        <v>0</v>
      </c>
      <c r="N2807" s="1468">
        <v>1.856525074266357</v>
      </c>
      <c r="O2807" s="1468"/>
    </row>
    <row r="2808" spans="11:15">
      <c r="K2808" s="1465">
        <v>44865</v>
      </c>
      <c r="L2808" s="1466" t="s">
        <v>2127</v>
      </c>
      <c r="M2808" s="1467">
        <v>5.0788E-2</v>
      </c>
      <c r="N2808" s="1468">
        <v>1.8574679662210756</v>
      </c>
      <c r="O2808" s="1468"/>
    </row>
    <row r="2809" spans="11:15">
      <c r="K2809" s="1465">
        <v>44866</v>
      </c>
      <c r="L2809" s="1466" t="s">
        <v>2127</v>
      </c>
      <c r="M2809" s="1467">
        <v>5.0788E-2</v>
      </c>
      <c r="N2809" s="1468">
        <v>1.8584113370517599</v>
      </c>
      <c r="O2809" s="1468"/>
    </row>
    <row r="2810" spans="11:15">
      <c r="K2810" s="1465">
        <v>44867</v>
      </c>
      <c r="L2810" s="1466"/>
      <c r="M2810" s="1467">
        <v>0</v>
      </c>
      <c r="N2810" s="1468">
        <v>1.8584113370517599</v>
      </c>
      <c r="O2810" s="1468"/>
    </row>
    <row r="2811" spans="11:15">
      <c r="K2811" s="1465">
        <v>44868</v>
      </c>
      <c r="L2811" s="1466" t="s">
        <v>2127</v>
      </c>
      <c r="M2811" s="1467">
        <v>5.0788E-2</v>
      </c>
      <c r="N2811" s="1468">
        <v>1.8593551870016218</v>
      </c>
      <c r="O2811" s="1468"/>
    </row>
    <row r="2812" spans="11:15">
      <c r="K2812" s="1465">
        <v>44869</v>
      </c>
      <c r="L2812" s="1466" t="s">
        <v>2127</v>
      </c>
      <c r="M2812" s="1467">
        <v>5.0788E-2</v>
      </c>
      <c r="N2812" s="1468">
        <v>1.8602995163139961</v>
      </c>
      <c r="O2812" s="1468"/>
    </row>
    <row r="2813" spans="11:15">
      <c r="K2813" s="1465">
        <v>44870</v>
      </c>
      <c r="L2813" s="1466"/>
      <c r="M2813" s="1467">
        <v>0</v>
      </c>
      <c r="N2813" s="1468">
        <v>1.8602995163139961</v>
      </c>
      <c r="O2813" s="1468"/>
    </row>
    <row r="2814" spans="11:15">
      <c r="K2814" s="1465">
        <v>44871</v>
      </c>
      <c r="L2814" s="1466"/>
      <c r="M2814" s="1467">
        <v>0</v>
      </c>
      <c r="N2814" s="1468">
        <v>1.8602995163139961</v>
      </c>
      <c r="O2814" s="1468"/>
    </row>
    <row r="2815" spans="11:15">
      <c r="K2815" s="1465">
        <v>44872</v>
      </c>
      <c r="L2815" s="1466" t="s">
        <v>2127</v>
      </c>
      <c r="M2815" s="1467">
        <v>5.0788E-2</v>
      </c>
      <c r="N2815" s="1468">
        <v>1.8612443252323416</v>
      </c>
      <c r="O2815" s="1468"/>
    </row>
    <row r="2816" spans="11:15">
      <c r="K2816" s="1465">
        <v>44873</v>
      </c>
      <c r="L2816" s="1466" t="s">
        <v>2127</v>
      </c>
      <c r="M2816" s="1467">
        <v>5.0788E-2</v>
      </c>
      <c r="N2816" s="1468">
        <v>1.8621896140002407</v>
      </c>
      <c r="O2816" s="1468"/>
    </row>
    <row r="2817" spans="11:15">
      <c r="K2817" s="1465">
        <v>44874</v>
      </c>
      <c r="L2817" s="1466" t="s">
        <v>2127</v>
      </c>
      <c r="M2817" s="1467">
        <v>5.0788E-2</v>
      </c>
      <c r="N2817" s="1468">
        <v>1.8631353828613992</v>
      </c>
      <c r="O2817" s="1468"/>
    </row>
    <row r="2818" spans="11:15">
      <c r="K2818" s="1465">
        <v>44875</v>
      </c>
      <c r="L2818" s="1466" t="s">
        <v>2127</v>
      </c>
      <c r="M2818" s="1467">
        <v>5.0788E-2</v>
      </c>
      <c r="N2818" s="1468">
        <v>1.8640816320596469</v>
      </c>
      <c r="O2818" s="1468"/>
    </row>
    <row r="2819" spans="11:15">
      <c r="K2819" s="1465">
        <v>44876</v>
      </c>
      <c r="L2819" s="1466" t="s">
        <v>2127</v>
      </c>
      <c r="M2819" s="1467">
        <v>5.0788E-2</v>
      </c>
      <c r="N2819" s="1468">
        <v>1.8650283618389374</v>
      </c>
      <c r="O2819" s="1468"/>
    </row>
    <row r="2820" spans="11:15">
      <c r="K2820" s="1465">
        <v>44877</v>
      </c>
      <c r="L2820" s="1466"/>
      <c r="M2820" s="1467">
        <v>0</v>
      </c>
      <c r="N2820" s="1468">
        <v>1.8650283618389374</v>
      </c>
      <c r="O2820" s="1468"/>
    </row>
    <row r="2821" spans="11:15">
      <c r="K2821" s="1465">
        <v>44878</v>
      </c>
      <c r="L2821" s="1466"/>
      <c r="M2821" s="1467">
        <v>0</v>
      </c>
      <c r="N2821" s="1468">
        <v>1.8650283618389374</v>
      </c>
      <c r="O2821" s="1468"/>
    </row>
    <row r="2822" spans="11:15">
      <c r="K2822" s="1465">
        <v>44879</v>
      </c>
      <c r="L2822" s="1466" t="s">
        <v>2127</v>
      </c>
      <c r="M2822" s="1467">
        <v>5.0788E-2</v>
      </c>
      <c r="N2822" s="1468">
        <v>1.8659755724433482</v>
      </c>
      <c r="O2822" s="1468"/>
    </row>
    <row r="2823" spans="11:15">
      <c r="K2823" s="1465">
        <v>44880</v>
      </c>
      <c r="L2823" s="1466"/>
      <c r="M2823" s="1467">
        <v>0</v>
      </c>
      <c r="N2823" s="1468">
        <v>1.8659755724433482</v>
      </c>
      <c r="O2823" s="1468"/>
    </row>
    <row r="2824" spans="11:15">
      <c r="K2824" s="1465">
        <v>44881</v>
      </c>
      <c r="L2824" s="1466" t="s">
        <v>2127</v>
      </c>
      <c r="M2824" s="1467">
        <v>5.0788E-2</v>
      </c>
      <c r="N2824" s="1468">
        <v>1.8669232641170808</v>
      </c>
      <c r="O2824" s="1468"/>
    </row>
    <row r="2825" spans="11:15">
      <c r="K2825" s="1465">
        <v>44882</v>
      </c>
      <c r="L2825" s="1466" t="s">
        <v>2127</v>
      </c>
      <c r="M2825" s="1467">
        <v>5.0788E-2</v>
      </c>
      <c r="N2825" s="1468">
        <v>1.8678714371044605</v>
      </c>
      <c r="O2825" s="1468"/>
    </row>
    <row r="2826" spans="11:15">
      <c r="K2826" s="1465">
        <v>44883</v>
      </c>
      <c r="L2826" s="1466" t="s">
        <v>2127</v>
      </c>
      <c r="M2826" s="1467">
        <v>5.0788E-2</v>
      </c>
      <c r="N2826" s="1468">
        <v>1.8688200916499371</v>
      </c>
      <c r="O2826" s="1468"/>
    </row>
    <row r="2827" spans="11:15">
      <c r="K2827" s="1465">
        <v>44884</v>
      </c>
      <c r="L2827" s="1466"/>
      <c r="M2827" s="1467">
        <v>0</v>
      </c>
      <c r="N2827" s="1468">
        <v>1.8688200916499371</v>
      </c>
      <c r="O2827" s="1468"/>
    </row>
    <row r="2828" spans="11:15">
      <c r="K2828" s="1465">
        <v>44885</v>
      </c>
      <c r="L2828" s="1466"/>
      <c r="M2828" s="1467">
        <v>0</v>
      </c>
      <c r="N2828" s="1468">
        <v>1.8688200916499371</v>
      </c>
      <c r="O2828" s="1468"/>
    </row>
    <row r="2829" spans="11:15">
      <c r="K2829" s="1465">
        <v>44886</v>
      </c>
      <c r="L2829" s="1466" t="s">
        <v>2127</v>
      </c>
      <c r="M2829" s="1467">
        <v>5.0788E-2</v>
      </c>
      <c r="N2829" s="1468">
        <v>1.8697692279980844</v>
      </c>
      <c r="O2829" s="1468"/>
    </row>
    <row r="2830" spans="11:15">
      <c r="K2830" s="1465">
        <v>44887</v>
      </c>
      <c r="L2830" s="1466" t="s">
        <v>2127</v>
      </c>
      <c r="M2830" s="1467">
        <v>5.0788E-2</v>
      </c>
      <c r="N2830" s="1468">
        <v>1.8707188463936002</v>
      </c>
      <c r="O2830" s="1468"/>
    </row>
    <row r="2831" spans="11:15">
      <c r="K2831" s="1465">
        <v>44888</v>
      </c>
      <c r="L2831" s="1466" t="s">
        <v>2127</v>
      </c>
      <c r="M2831" s="1467">
        <v>5.0788E-2</v>
      </c>
      <c r="N2831" s="1468">
        <v>1.8716689470813066</v>
      </c>
      <c r="O2831" s="1468"/>
    </row>
    <row r="2832" spans="11:15">
      <c r="K2832" s="1465">
        <v>44889</v>
      </c>
      <c r="L2832" s="1466" t="s">
        <v>2127</v>
      </c>
      <c r="M2832" s="1467">
        <v>5.0788E-2</v>
      </c>
      <c r="N2832" s="1468">
        <v>1.8726195303061504</v>
      </c>
      <c r="O2832" s="1468"/>
    </row>
    <row r="2833" spans="11:15">
      <c r="K2833" s="1465">
        <v>44890</v>
      </c>
      <c r="L2833" s="1466" t="s">
        <v>2127</v>
      </c>
      <c r="M2833" s="1467">
        <v>5.0788E-2</v>
      </c>
      <c r="N2833" s="1468">
        <v>1.8735705963132023</v>
      </c>
      <c r="O2833" s="1468"/>
    </row>
    <row r="2834" spans="11:15">
      <c r="K2834" s="1465">
        <v>44891</v>
      </c>
      <c r="L2834" s="1466"/>
      <c r="M2834" s="1467">
        <v>0</v>
      </c>
      <c r="N2834" s="1468">
        <v>1.8735705963132023</v>
      </c>
      <c r="O2834" s="1468"/>
    </row>
    <row r="2835" spans="11:15">
      <c r="K2835" s="1465">
        <v>44892</v>
      </c>
      <c r="L2835" s="1466"/>
      <c r="M2835" s="1467">
        <v>0</v>
      </c>
      <c r="N2835" s="1468">
        <v>1.8735705963132023</v>
      </c>
      <c r="O2835" s="1468"/>
    </row>
    <row r="2836" spans="11:15">
      <c r="K2836" s="1465">
        <v>44893</v>
      </c>
      <c r="L2836" s="1466" t="s">
        <v>2127</v>
      </c>
      <c r="M2836" s="1467">
        <v>5.0788E-2</v>
      </c>
      <c r="N2836" s="1468">
        <v>1.8745221453476579</v>
      </c>
      <c r="O2836" s="1468"/>
    </row>
    <row r="2837" spans="11:15">
      <c r="K2837" s="1465">
        <v>44894</v>
      </c>
      <c r="L2837" s="1466" t="s">
        <v>2127</v>
      </c>
      <c r="M2837" s="1467">
        <v>5.0788E-2</v>
      </c>
      <c r="N2837" s="1468">
        <v>1.8754741776548371</v>
      </c>
      <c r="O2837" s="1468"/>
    </row>
    <row r="2838" spans="11:15">
      <c r="K2838" s="1465">
        <v>44895</v>
      </c>
      <c r="L2838" s="1466" t="s">
        <v>2127</v>
      </c>
      <c r="M2838" s="1467">
        <v>5.0788E-2</v>
      </c>
      <c r="N2838" s="1468">
        <v>1.8764266934801845</v>
      </c>
      <c r="O2838" s="1468"/>
    </row>
    <row r="2839" spans="11:15">
      <c r="K2839" s="1465">
        <v>44896</v>
      </c>
      <c r="L2839" s="1466" t="s">
        <v>2127</v>
      </c>
      <c r="M2839" s="1467">
        <v>5.0788E-2</v>
      </c>
      <c r="N2839" s="1468">
        <v>1.8773796930692692</v>
      </c>
      <c r="O2839" s="1468"/>
    </row>
    <row r="2840" spans="11:15">
      <c r="K2840" s="1465">
        <v>44897</v>
      </c>
      <c r="L2840" s="1466" t="s">
        <v>2127</v>
      </c>
      <c r="M2840" s="1467">
        <v>5.0788E-2</v>
      </c>
      <c r="N2840" s="1468">
        <v>1.8783331766677853</v>
      </c>
      <c r="O2840" s="1468"/>
    </row>
    <row r="2841" spans="11:15">
      <c r="K2841" s="1465">
        <v>44898</v>
      </c>
      <c r="L2841" s="1466"/>
      <c r="M2841" s="1467">
        <v>0</v>
      </c>
      <c r="N2841" s="1468">
        <v>1.8783331766677853</v>
      </c>
      <c r="O2841" s="1468"/>
    </row>
    <row r="2842" spans="11:15">
      <c r="K2842" s="1465">
        <v>44899</v>
      </c>
      <c r="L2842" s="1466"/>
      <c r="M2842" s="1467">
        <v>0</v>
      </c>
      <c r="N2842" s="1468">
        <v>1.8783331766677853</v>
      </c>
      <c r="O2842" s="1468"/>
    </row>
    <row r="2843" spans="11:15">
      <c r="K2843" s="1465">
        <v>44900</v>
      </c>
      <c r="L2843" s="1466" t="s">
        <v>2127</v>
      </c>
      <c r="M2843" s="1467">
        <v>5.0788E-2</v>
      </c>
      <c r="N2843" s="1468">
        <v>1.8792871445215513</v>
      </c>
      <c r="O2843" s="1468"/>
    </row>
    <row r="2844" spans="11:15">
      <c r="K2844" s="1465">
        <v>44901</v>
      </c>
      <c r="L2844" s="1466" t="s">
        <v>2127</v>
      </c>
      <c r="M2844" s="1467">
        <v>5.0788E-2</v>
      </c>
      <c r="N2844" s="1468">
        <v>1.8802415968765109</v>
      </c>
      <c r="O2844" s="1468"/>
    </row>
    <row r="2845" spans="11:15">
      <c r="K2845" s="1465">
        <v>44902</v>
      </c>
      <c r="L2845" s="1466" t="s">
        <v>2127</v>
      </c>
      <c r="M2845" s="1467">
        <v>5.0788E-2</v>
      </c>
      <c r="N2845" s="1468">
        <v>1.8811965339787327</v>
      </c>
      <c r="O2845" s="1468"/>
    </row>
    <row r="2846" spans="11:15">
      <c r="K2846" s="1465">
        <v>44903</v>
      </c>
      <c r="L2846" s="1466" t="s">
        <v>2127</v>
      </c>
      <c r="M2846" s="1467">
        <v>5.0788E-2</v>
      </c>
      <c r="N2846" s="1468">
        <v>1.8821519560744098</v>
      </c>
      <c r="O2846" s="1468"/>
    </row>
    <row r="2847" spans="11:15">
      <c r="K2847" s="1465">
        <v>44904</v>
      </c>
      <c r="L2847" s="1466" t="s">
        <v>2127</v>
      </c>
      <c r="M2847" s="1467">
        <v>5.0788E-2</v>
      </c>
      <c r="N2847" s="1468">
        <v>1.8831078634098608</v>
      </c>
      <c r="O2847" s="1468"/>
    </row>
    <row r="2848" spans="11:15">
      <c r="K2848" s="1465">
        <v>44905</v>
      </c>
      <c r="L2848" s="1466"/>
      <c r="M2848" s="1467">
        <v>0</v>
      </c>
      <c r="N2848" s="1468">
        <v>1.8831078634098608</v>
      </c>
      <c r="O2848" s="1468"/>
    </row>
    <row r="2849" spans="11:15">
      <c r="K2849" s="1465">
        <v>44906</v>
      </c>
      <c r="L2849" s="1466"/>
      <c r="M2849" s="1467">
        <v>0</v>
      </c>
      <c r="N2849" s="1468">
        <v>1.8831078634098608</v>
      </c>
      <c r="O2849" s="1468"/>
    </row>
    <row r="2850" spans="11:15">
      <c r="K2850" s="1465">
        <v>44907</v>
      </c>
      <c r="L2850" s="1466" t="s">
        <v>2127</v>
      </c>
      <c r="M2850" s="1467">
        <v>5.0788E-2</v>
      </c>
      <c r="N2850" s="1468">
        <v>1.8840642562315295</v>
      </c>
      <c r="O2850" s="1468"/>
    </row>
    <row r="2851" spans="11:15">
      <c r="K2851" s="1465">
        <v>44908</v>
      </c>
      <c r="L2851" s="1466" t="s">
        <v>2127</v>
      </c>
      <c r="M2851" s="1467">
        <v>5.0788E-2</v>
      </c>
      <c r="N2851" s="1468">
        <v>1.8850211347859844</v>
      </c>
      <c r="O2851" s="1468"/>
    </row>
    <row r="2852" spans="11:15">
      <c r="K2852" s="1465">
        <v>44909</v>
      </c>
      <c r="L2852" s="1466" t="s">
        <v>2127</v>
      </c>
      <c r="M2852" s="1467">
        <v>5.0788E-2</v>
      </c>
      <c r="N2852" s="1468">
        <v>1.8859784993199196</v>
      </c>
      <c r="O2852" s="1468"/>
    </row>
    <row r="2853" spans="11:15">
      <c r="K2853" s="1465">
        <v>44910</v>
      </c>
      <c r="L2853" s="1466" t="s">
        <v>2127</v>
      </c>
      <c r="M2853" s="1467">
        <v>5.0788E-2</v>
      </c>
      <c r="N2853" s="1468">
        <v>1.8869363500801541</v>
      </c>
      <c r="O2853" s="1468"/>
    </row>
    <row r="2854" spans="11:15">
      <c r="K2854" s="1465">
        <v>44911</v>
      </c>
      <c r="L2854" s="1466" t="s">
        <v>2127</v>
      </c>
      <c r="M2854" s="1467">
        <v>5.0788E-2</v>
      </c>
      <c r="N2854" s="1468">
        <v>1.8878946873136329</v>
      </c>
      <c r="O2854" s="1468"/>
    </row>
    <row r="2855" spans="11:15">
      <c r="K2855" s="1465">
        <v>44912</v>
      </c>
      <c r="L2855" s="1466"/>
      <c r="M2855" s="1467">
        <v>0</v>
      </c>
      <c r="N2855" s="1468">
        <v>1.8878946873136329</v>
      </c>
      <c r="O2855" s="1468"/>
    </row>
    <row r="2856" spans="11:15">
      <c r="K2856" s="1465">
        <v>44913</v>
      </c>
      <c r="L2856" s="1466"/>
      <c r="M2856" s="1467">
        <v>0</v>
      </c>
      <c r="N2856" s="1468">
        <v>1.8878946873136329</v>
      </c>
      <c r="O2856" s="1468"/>
    </row>
    <row r="2857" spans="11:15">
      <c r="K2857" s="1465">
        <v>44914</v>
      </c>
      <c r="L2857" s="1466" t="s">
        <v>2127</v>
      </c>
      <c r="M2857" s="1467">
        <v>5.0788E-2</v>
      </c>
      <c r="N2857" s="1468">
        <v>1.8888535112674258</v>
      </c>
      <c r="O2857" s="1468"/>
    </row>
    <row r="2858" spans="11:15">
      <c r="K2858" s="1465">
        <v>44915</v>
      </c>
      <c r="L2858" s="1466" t="s">
        <v>2127</v>
      </c>
      <c r="M2858" s="1467">
        <v>5.0788E-2</v>
      </c>
      <c r="N2858" s="1468">
        <v>1.8898128221887285</v>
      </c>
      <c r="O2858" s="1468"/>
    </row>
    <row r="2859" spans="11:15">
      <c r="K2859" s="1465">
        <v>44916</v>
      </c>
      <c r="L2859" s="1466" t="s">
        <v>2127</v>
      </c>
      <c r="M2859" s="1467">
        <v>5.0788E-2</v>
      </c>
      <c r="N2859" s="1468">
        <v>1.8907726203248618</v>
      </c>
      <c r="O2859" s="1468"/>
    </row>
    <row r="2860" spans="11:15">
      <c r="K2860" s="1465">
        <v>44917</v>
      </c>
      <c r="L2860" s="1466" t="s">
        <v>2127</v>
      </c>
      <c r="M2860" s="1467">
        <v>5.0788E-2</v>
      </c>
      <c r="N2860" s="1468">
        <v>1.8917329059232724</v>
      </c>
      <c r="O2860" s="1468"/>
    </row>
    <row r="2861" spans="11:15">
      <c r="K2861" s="1465">
        <v>44918</v>
      </c>
      <c r="L2861" s="1466" t="s">
        <v>2127</v>
      </c>
      <c r="M2861" s="1467">
        <v>5.0788E-2</v>
      </c>
      <c r="N2861" s="1468">
        <v>1.8926936792315328</v>
      </c>
      <c r="O2861" s="1468"/>
    </row>
    <row r="2862" spans="11:15">
      <c r="K2862" s="1465">
        <v>44919</v>
      </c>
      <c r="L2862" s="1466"/>
      <c r="M2862" s="1467">
        <v>0</v>
      </c>
      <c r="N2862" s="1468">
        <v>1.8926936792315328</v>
      </c>
      <c r="O2862" s="1468"/>
    </row>
    <row r="2863" spans="11:15">
      <c r="K2863" s="1465">
        <v>44920</v>
      </c>
      <c r="L2863" s="1466"/>
      <c r="M2863" s="1467">
        <v>0</v>
      </c>
      <c r="N2863" s="1468">
        <v>1.8926936792315328</v>
      </c>
      <c r="O2863" s="1468"/>
    </row>
    <row r="2864" spans="11:15">
      <c r="K2864" s="1465">
        <v>44921</v>
      </c>
      <c r="L2864" s="1466" t="s">
        <v>2127</v>
      </c>
      <c r="M2864" s="1467">
        <v>5.0788E-2</v>
      </c>
      <c r="N2864" s="1468">
        <v>1.8936549404973408</v>
      </c>
      <c r="O2864" s="1468"/>
    </row>
    <row r="2865" spans="11:15">
      <c r="K2865" s="1465">
        <v>44922</v>
      </c>
      <c r="L2865" s="1466" t="s">
        <v>2127</v>
      </c>
      <c r="M2865" s="1467">
        <v>5.0788E-2</v>
      </c>
      <c r="N2865" s="1468">
        <v>1.8946166899685206</v>
      </c>
      <c r="O2865" s="1468"/>
    </row>
    <row r="2866" spans="11:15">
      <c r="K2866" s="1465">
        <v>44923</v>
      </c>
      <c r="L2866" s="1466" t="s">
        <v>2127</v>
      </c>
      <c r="M2866" s="1467">
        <v>5.0788E-2</v>
      </c>
      <c r="N2866" s="1468">
        <v>1.895578927893022</v>
      </c>
      <c r="O2866" s="1468"/>
    </row>
    <row r="2867" spans="11:15">
      <c r="K2867" s="1465">
        <v>44924</v>
      </c>
      <c r="L2867" s="1466" t="s">
        <v>2127</v>
      </c>
      <c r="M2867" s="1467">
        <v>5.0788E-2</v>
      </c>
      <c r="N2867" s="1468">
        <v>1.8965416545189202</v>
      </c>
      <c r="O2867" s="1468"/>
    </row>
    <row r="2868" spans="11:15">
      <c r="K2868" s="1465">
        <v>44925</v>
      </c>
      <c r="L2868" s="1466" t="s">
        <v>2127</v>
      </c>
      <c r="M2868" s="1467">
        <v>5.0788E-2</v>
      </c>
      <c r="N2868" s="1468">
        <v>1.8975048700944173</v>
      </c>
      <c r="O2868" s="1468"/>
    </row>
    <row r="2869" spans="11:15">
      <c r="K2869" s="1465">
        <v>44926</v>
      </c>
      <c r="L2869" s="1466"/>
      <c r="M2869" s="1467">
        <v>0</v>
      </c>
      <c r="N2869" s="1468">
        <v>1.8975048700944173</v>
      </c>
      <c r="O2869" s="1468"/>
    </row>
    <row r="2870" spans="11:15">
      <c r="K2870" s="1465">
        <v>44927</v>
      </c>
      <c r="L2870" s="1466"/>
      <c r="M2870" s="1467">
        <v>0</v>
      </c>
      <c r="N2870" s="1468">
        <v>1.8975048700944173</v>
      </c>
      <c r="O2870" s="1468"/>
    </row>
    <row r="2871" spans="11:15">
      <c r="K2871" s="1465">
        <v>44928</v>
      </c>
      <c r="L2871" s="1466" t="s">
        <v>2127</v>
      </c>
      <c r="M2871" s="1467">
        <v>5.0788E-2</v>
      </c>
      <c r="N2871" s="1468">
        <v>1.8984685748678409</v>
      </c>
      <c r="O2871" s="1468"/>
    </row>
    <row r="2872" spans="11:15">
      <c r="K2872" s="1465">
        <v>44929</v>
      </c>
      <c r="L2872" s="1466" t="s">
        <v>2127</v>
      </c>
      <c r="M2872" s="1467">
        <v>5.0788E-2</v>
      </c>
      <c r="N2872" s="1468">
        <v>1.8994327690876449</v>
      </c>
      <c r="O2872" s="1468"/>
    </row>
    <row r="2873" spans="11:15">
      <c r="K2873" s="1465">
        <v>44930</v>
      </c>
      <c r="L2873" s="1466" t="s">
        <v>2127</v>
      </c>
      <c r="M2873" s="1467">
        <v>5.0788E-2</v>
      </c>
      <c r="N2873" s="1468">
        <v>1.9003974530024093</v>
      </c>
      <c r="O2873" s="1468"/>
    </row>
    <row r="2874" spans="11:15">
      <c r="K2874" s="1465">
        <v>44931</v>
      </c>
      <c r="L2874" s="1466" t="s">
        <v>2127</v>
      </c>
      <c r="M2874" s="1467">
        <v>5.0788E-2</v>
      </c>
      <c r="N2874" s="1468">
        <v>1.9013626268608401</v>
      </c>
      <c r="O2874" s="1468"/>
    </row>
    <row r="2875" spans="11:15">
      <c r="K2875" s="1465">
        <v>44932</v>
      </c>
      <c r="L2875" s="1466" t="s">
        <v>2127</v>
      </c>
      <c r="M2875" s="1467">
        <v>5.0788E-2</v>
      </c>
      <c r="N2875" s="1468">
        <v>1.9023282909117702</v>
      </c>
      <c r="O2875" s="1468"/>
    </row>
    <row r="2876" spans="11:15">
      <c r="K2876" s="1465">
        <v>44933</v>
      </c>
      <c r="L2876" s="1466"/>
      <c r="M2876" s="1467">
        <v>0</v>
      </c>
      <c r="N2876" s="1468">
        <v>1.9023282909117702</v>
      </c>
      <c r="O2876" s="1468"/>
    </row>
    <row r="2877" spans="11:15">
      <c r="K2877" s="1465">
        <v>44934</v>
      </c>
      <c r="L2877" s="1466"/>
      <c r="M2877" s="1467">
        <v>0</v>
      </c>
      <c r="N2877" s="1468">
        <v>1.9023282909117702</v>
      </c>
      <c r="O2877" s="1468"/>
    </row>
    <row r="2878" spans="11:15">
      <c r="K2878" s="1465">
        <v>44935</v>
      </c>
      <c r="L2878" s="1466" t="s">
        <v>2127</v>
      </c>
      <c r="M2878" s="1467">
        <v>5.0788E-2</v>
      </c>
      <c r="N2878" s="1468">
        <v>1.9032944454041585</v>
      </c>
      <c r="O2878" s="1468"/>
    </row>
    <row r="2879" spans="11:15">
      <c r="K2879" s="1465">
        <v>44936</v>
      </c>
      <c r="L2879" s="1466" t="s">
        <v>2127</v>
      </c>
      <c r="M2879" s="1467">
        <v>5.0788E-2</v>
      </c>
      <c r="N2879" s="1468">
        <v>1.9042610905870905</v>
      </c>
      <c r="O2879" s="1468"/>
    </row>
    <row r="2880" spans="11:15">
      <c r="K2880" s="1465">
        <v>44937</v>
      </c>
      <c r="L2880" s="1466" t="s">
        <v>2127</v>
      </c>
      <c r="M2880" s="1467">
        <v>5.0788E-2</v>
      </c>
      <c r="N2880" s="1468">
        <v>1.905228226709778</v>
      </c>
      <c r="O2880" s="1468"/>
    </row>
    <row r="2881" spans="11:15">
      <c r="K2881" s="1465">
        <v>44938</v>
      </c>
      <c r="L2881" s="1466" t="s">
        <v>2127</v>
      </c>
      <c r="M2881" s="1467">
        <v>5.0788E-2</v>
      </c>
      <c r="N2881" s="1468">
        <v>1.9061958540215593</v>
      </c>
      <c r="O2881" s="1468"/>
    </row>
    <row r="2882" spans="11:15">
      <c r="K2882" s="1465">
        <v>44939</v>
      </c>
      <c r="L2882" s="1466" t="s">
        <v>2127</v>
      </c>
      <c r="M2882" s="1467">
        <v>5.0788E-2</v>
      </c>
      <c r="N2882" s="1468">
        <v>1.9071639727718999</v>
      </c>
      <c r="O2882" s="1468"/>
    </row>
    <row r="2883" spans="11:15">
      <c r="K2883" s="1465">
        <v>44940</v>
      </c>
      <c r="L2883" s="1466"/>
      <c r="M2883" s="1467">
        <v>0</v>
      </c>
      <c r="N2883" s="1468">
        <v>1.9071639727718999</v>
      </c>
      <c r="O2883" s="1468"/>
    </row>
    <row r="2884" spans="11:15">
      <c r="K2884" s="1465">
        <v>44941</v>
      </c>
      <c r="L2884" s="1466"/>
      <c r="M2884" s="1467">
        <v>0</v>
      </c>
      <c r="N2884" s="1468">
        <v>1.9071639727718999</v>
      </c>
      <c r="O2884" s="1468"/>
    </row>
    <row r="2885" spans="11:15">
      <c r="K2885" s="1465">
        <v>44942</v>
      </c>
      <c r="L2885" s="1466" t="s">
        <v>2127</v>
      </c>
      <c r="M2885" s="1467">
        <v>5.0788E-2</v>
      </c>
      <c r="N2885" s="1468">
        <v>1.9081325832103913</v>
      </c>
      <c r="O2885" s="1468"/>
    </row>
    <row r="2886" spans="11:15">
      <c r="K2886" s="1465">
        <v>44943</v>
      </c>
      <c r="L2886" s="1466" t="s">
        <v>2127</v>
      </c>
      <c r="M2886" s="1467">
        <v>5.0788E-2</v>
      </c>
      <c r="N2886" s="1468">
        <v>1.9091016855867522</v>
      </c>
      <c r="O2886" s="1468"/>
    </row>
    <row r="2887" spans="11:15">
      <c r="K2887" s="1465">
        <v>44944</v>
      </c>
      <c r="L2887" s="1466" t="s">
        <v>2127</v>
      </c>
      <c r="M2887" s="1467">
        <v>5.0788E-2</v>
      </c>
      <c r="N2887" s="1468">
        <v>1.9100712801508279</v>
      </c>
      <c r="O2887" s="1468"/>
    </row>
    <row r="2888" spans="11:15">
      <c r="K2888" s="1465">
        <v>44945</v>
      </c>
      <c r="L2888" s="1466" t="s">
        <v>2127</v>
      </c>
      <c r="M2888" s="1467">
        <v>5.0788E-2</v>
      </c>
      <c r="N2888" s="1468">
        <v>1.911041367152591</v>
      </c>
      <c r="O2888" s="1468"/>
    </row>
    <row r="2889" spans="11:15">
      <c r="K2889" s="1465">
        <v>44946</v>
      </c>
      <c r="L2889" s="1466" t="s">
        <v>2127</v>
      </c>
      <c r="M2889" s="1467">
        <v>5.0788E-2</v>
      </c>
      <c r="N2889" s="1468">
        <v>1.9120119468421404</v>
      </c>
      <c r="O2889" s="1468"/>
    </row>
    <row r="2890" spans="11:15">
      <c r="K2890" s="1465">
        <v>44947</v>
      </c>
      <c r="L2890" s="1466"/>
      <c r="M2890" s="1467">
        <v>0</v>
      </c>
      <c r="N2890" s="1468">
        <v>1.9120119468421404</v>
      </c>
      <c r="O2890" s="1468"/>
    </row>
    <row r="2891" spans="11:15">
      <c r="K2891" s="1465">
        <v>44948</v>
      </c>
      <c r="L2891" s="1466"/>
      <c r="M2891" s="1467">
        <v>0</v>
      </c>
      <c r="N2891" s="1468">
        <v>1.9120119468421404</v>
      </c>
      <c r="O2891" s="1468"/>
    </row>
    <row r="2892" spans="11:15">
      <c r="K2892" s="1465">
        <v>44949</v>
      </c>
      <c r="L2892" s="1466" t="s">
        <v>2127</v>
      </c>
      <c r="M2892" s="1467">
        <v>5.0788E-2</v>
      </c>
      <c r="N2892" s="1468">
        <v>1.9129830194697026</v>
      </c>
      <c r="O2892" s="1468"/>
    </row>
    <row r="2893" spans="11:15">
      <c r="K2893" s="1465">
        <v>44950</v>
      </c>
      <c r="L2893" s="1466" t="s">
        <v>2127</v>
      </c>
      <c r="M2893" s="1467">
        <v>5.0788E-2</v>
      </c>
      <c r="N2893" s="1468">
        <v>1.913954585285631</v>
      </c>
      <c r="O2893" s="1468"/>
    </row>
    <row r="2894" spans="11:15">
      <c r="K2894" s="1465">
        <v>44951</v>
      </c>
      <c r="L2894" s="1466" t="s">
        <v>2127</v>
      </c>
      <c r="M2894" s="1467">
        <v>5.0788E-2</v>
      </c>
      <c r="N2894" s="1468">
        <v>1.9149266445404058</v>
      </c>
      <c r="O2894" s="1468"/>
    </row>
    <row r="2895" spans="11:15">
      <c r="K2895" s="1465">
        <v>44952</v>
      </c>
      <c r="L2895" s="1466" t="s">
        <v>2127</v>
      </c>
      <c r="M2895" s="1467">
        <v>5.0788E-2</v>
      </c>
      <c r="N2895" s="1468">
        <v>1.9158991974846351</v>
      </c>
      <c r="O2895" s="1468"/>
    </row>
    <row r="2896" spans="11:15">
      <c r="K2896" s="1465">
        <v>44953</v>
      </c>
      <c r="L2896" s="1466" t="s">
        <v>2127</v>
      </c>
      <c r="M2896" s="1467">
        <v>5.0788E-2</v>
      </c>
      <c r="N2896" s="1468">
        <v>1.9168722443690536</v>
      </c>
      <c r="O2896" s="1468"/>
    </row>
    <row r="2897" spans="11:15">
      <c r="K2897" s="1465">
        <v>44954</v>
      </c>
      <c r="L2897" s="1466"/>
      <c r="M2897" s="1467">
        <v>0</v>
      </c>
      <c r="N2897" s="1468">
        <v>1.9168722443690536</v>
      </c>
      <c r="O2897" s="1468"/>
    </row>
    <row r="2898" spans="11:15">
      <c r="K2898" s="1465">
        <v>44955</v>
      </c>
      <c r="L2898" s="1466"/>
      <c r="M2898" s="1467">
        <v>0</v>
      </c>
      <c r="N2898" s="1468">
        <v>1.9168722443690536</v>
      </c>
      <c r="O2898" s="1468"/>
    </row>
    <row r="2899" spans="11:15">
      <c r="K2899" s="1465">
        <v>44956</v>
      </c>
      <c r="L2899" s="1466" t="s">
        <v>2127</v>
      </c>
      <c r="M2899" s="1467">
        <v>5.0788E-2</v>
      </c>
      <c r="N2899" s="1468">
        <v>1.9178457854445237</v>
      </c>
      <c r="O2899" s="1468"/>
    </row>
    <row r="2900" spans="11:15">
      <c r="K2900" s="1465">
        <v>44957</v>
      </c>
      <c r="L2900" s="1466" t="s">
        <v>2127</v>
      </c>
      <c r="M2900" s="1467">
        <v>5.0788E-2</v>
      </c>
      <c r="N2900" s="1468">
        <v>1.9188198209620353</v>
      </c>
      <c r="O2900" s="1468"/>
    </row>
    <row r="2901" spans="11:15">
      <c r="K2901" s="1465">
        <v>44958</v>
      </c>
      <c r="L2901" s="1466" t="s">
        <v>2127</v>
      </c>
      <c r="M2901" s="1467">
        <v>5.0788E-2</v>
      </c>
      <c r="N2901" s="1468">
        <v>1.9197943511727056</v>
      </c>
      <c r="O2901" s="1468"/>
    </row>
    <row r="2902" spans="11:15">
      <c r="K2902" s="1465">
        <v>44959</v>
      </c>
      <c r="L2902" s="1466" t="s">
        <v>2127</v>
      </c>
      <c r="M2902" s="1467">
        <v>5.0788E-2</v>
      </c>
      <c r="N2902" s="1468">
        <v>1.9207693763277791</v>
      </c>
      <c r="O2902" s="1468"/>
    </row>
    <row r="2903" spans="11:15">
      <c r="K2903" s="1465">
        <v>44960</v>
      </c>
      <c r="L2903" s="1466" t="s">
        <v>2127</v>
      </c>
      <c r="M2903" s="1467">
        <v>5.0788E-2</v>
      </c>
      <c r="N2903" s="1468">
        <v>1.9217448966786286</v>
      </c>
      <c r="O2903" s="1468"/>
    </row>
    <row r="2904" spans="11:15">
      <c r="K2904" s="1465">
        <v>44961</v>
      </c>
      <c r="L2904" s="1466"/>
      <c r="M2904" s="1467">
        <v>0</v>
      </c>
      <c r="N2904" s="1468">
        <v>1.9217448966786286</v>
      </c>
      <c r="O2904" s="1468"/>
    </row>
    <row r="2905" spans="11:15">
      <c r="K2905" s="1465">
        <v>44962</v>
      </c>
      <c r="L2905" s="1466"/>
      <c r="M2905" s="1467">
        <v>0</v>
      </c>
      <c r="N2905" s="1468">
        <v>1.9217448966786286</v>
      </c>
      <c r="O2905" s="1468"/>
    </row>
    <row r="2906" spans="11:15">
      <c r="K2906" s="1465">
        <v>44963</v>
      </c>
      <c r="L2906" s="1466" t="s">
        <v>2127</v>
      </c>
      <c r="M2906" s="1467">
        <v>5.0788E-2</v>
      </c>
      <c r="N2906" s="1468">
        <v>1.9227209124767537</v>
      </c>
      <c r="O2906" s="1468"/>
    </row>
    <row r="2907" spans="11:15">
      <c r="K2907" s="1465">
        <v>44964</v>
      </c>
      <c r="L2907" s="1466" t="s">
        <v>2127</v>
      </c>
      <c r="M2907" s="1467">
        <v>5.0788E-2</v>
      </c>
      <c r="N2907" s="1468">
        <v>1.9236974239737825</v>
      </c>
      <c r="O2907" s="1468"/>
    </row>
    <row r="2908" spans="11:15">
      <c r="K2908" s="1465">
        <v>44965</v>
      </c>
      <c r="L2908" s="1466" t="s">
        <v>2127</v>
      </c>
      <c r="M2908" s="1467">
        <v>5.0788E-2</v>
      </c>
      <c r="N2908" s="1468">
        <v>1.9246744314214703</v>
      </c>
      <c r="O2908" s="1468"/>
    </row>
    <row r="2909" spans="11:15">
      <c r="K2909" s="1465">
        <v>44966</v>
      </c>
      <c r="L2909" s="1466" t="s">
        <v>2127</v>
      </c>
      <c r="M2909" s="1467">
        <v>5.0788E-2</v>
      </c>
      <c r="N2909" s="1468">
        <v>1.9256519350717007</v>
      </c>
      <c r="O2909" s="1468"/>
    </row>
    <row r="2910" spans="11:15">
      <c r="K2910" s="1465">
        <v>44967</v>
      </c>
      <c r="L2910" s="1466" t="s">
        <v>2127</v>
      </c>
      <c r="M2910" s="1467">
        <v>5.0788E-2</v>
      </c>
      <c r="N2910" s="1468">
        <v>1.9266299351764851</v>
      </c>
      <c r="O2910" s="1468"/>
    </row>
    <row r="2911" spans="11:15">
      <c r="K2911" s="1465">
        <v>44968</v>
      </c>
      <c r="L2911" s="1466"/>
      <c r="M2911" s="1467">
        <v>0</v>
      </c>
      <c r="N2911" s="1468">
        <v>1.9266299351764851</v>
      </c>
      <c r="O2911" s="1468"/>
    </row>
    <row r="2912" spans="11:15">
      <c r="K2912" s="1465">
        <v>44969</v>
      </c>
      <c r="L2912" s="1466"/>
      <c r="M2912" s="1467">
        <v>0</v>
      </c>
      <c r="N2912" s="1468">
        <v>1.9266299351764851</v>
      </c>
      <c r="O2912" s="1468"/>
    </row>
    <row r="2913" spans="11:15">
      <c r="K2913" s="1465">
        <v>44970</v>
      </c>
      <c r="L2913" s="1466" t="s">
        <v>2127</v>
      </c>
      <c r="M2913" s="1467">
        <v>5.0788E-2</v>
      </c>
      <c r="N2913" s="1468">
        <v>1.9276084319879625</v>
      </c>
      <c r="O2913" s="1468"/>
    </row>
    <row r="2914" spans="11:15">
      <c r="K2914" s="1465">
        <v>44971</v>
      </c>
      <c r="L2914" s="1466" t="s">
        <v>2127</v>
      </c>
      <c r="M2914" s="1467">
        <v>5.0788E-2</v>
      </c>
      <c r="N2914" s="1468">
        <v>1.9285874257584006</v>
      </c>
      <c r="O2914" s="1468"/>
    </row>
    <row r="2915" spans="11:15">
      <c r="K2915" s="1465">
        <v>44972</v>
      </c>
      <c r="L2915" s="1466" t="s">
        <v>2127</v>
      </c>
      <c r="M2915" s="1467">
        <v>5.0788E-2</v>
      </c>
      <c r="N2915" s="1468">
        <v>1.9295669167401948</v>
      </c>
      <c r="O2915" s="1468"/>
    </row>
    <row r="2916" spans="11:15">
      <c r="K2916" s="1465">
        <v>44973</v>
      </c>
      <c r="L2916" s="1466" t="s">
        <v>2127</v>
      </c>
      <c r="M2916" s="1467">
        <v>5.0788E-2</v>
      </c>
      <c r="N2916" s="1468">
        <v>1.9305469051858688</v>
      </c>
      <c r="O2916" s="1468"/>
    </row>
    <row r="2917" spans="11:15">
      <c r="K2917" s="1465">
        <v>44974</v>
      </c>
      <c r="L2917" s="1466" t="s">
        <v>2127</v>
      </c>
      <c r="M2917" s="1467">
        <v>5.0788E-2</v>
      </c>
      <c r="N2917" s="1468">
        <v>1.9315273913480746</v>
      </c>
      <c r="O2917" s="1468"/>
    </row>
    <row r="2918" spans="11:15">
      <c r="K2918" s="1465">
        <v>44975</v>
      </c>
      <c r="L2918" s="1466"/>
      <c r="M2918" s="1467">
        <v>0</v>
      </c>
      <c r="N2918" s="1468">
        <v>1.9315273913480746</v>
      </c>
      <c r="O2918" s="1468"/>
    </row>
    <row r="2919" spans="11:15">
      <c r="K2919" s="1465">
        <v>44976</v>
      </c>
      <c r="L2919" s="1466"/>
      <c r="M2919" s="1467">
        <v>0</v>
      </c>
      <c r="N2919" s="1468">
        <v>1.9315273913480746</v>
      </c>
      <c r="O2919" s="1468"/>
    </row>
    <row r="2920" spans="11:15">
      <c r="K2920" s="1465">
        <v>44977</v>
      </c>
      <c r="L2920" s="1466"/>
      <c r="M2920" s="1467">
        <v>0</v>
      </c>
      <c r="N2920" s="1468">
        <v>1.9315273913480746</v>
      </c>
      <c r="O2920" s="1468"/>
    </row>
    <row r="2921" spans="11:15">
      <c r="K2921" s="1465">
        <v>44978</v>
      </c>
      <c r="L2921" s="1466"/>
      <c r="M2921" s="1467">
        <v>0</v>
      </c>
      <c r="N2921" s="1468">
        <v>1.9315273913480746</v>
      </c>
      <c r="O2921" s="1468"/>
    </row>
    <row r="2922" spans="11:15">
      <c r="K2922" s="1465">
        <v>44979</v>
      </c>
      <c r="L2922" s="1466" t="s">
        <v>2127</v>
      </c>
      <c r="M2922" s="1467">
        <v>5.0788E-2</v>
      </c>
      <c r="N2922" s="1468">
        <v>1.9325083754795924</v>
      </c>
      <c r="O2922" s="1468"/>
    </row>
    <row r="2923" spans="11:15">
      <c r="K2923" s="1465">
        <v>44980</v>
      </c>
      <c r="L2923" s="1466" t="s">
        <v>2127</v>
      </c>
      <c r="M2923" s="1467">
        <v>5.0788E-2</v>
      </c>
      <c r="N2923" s="1468">
        <v>1.933489857833331</v>
      </c>
      <c r="O2923" s="1468"/>
    </row>
    <row r="2924" spans="11:15">
      <c r="K2924" s="1465">
        <v>44981</v>
      </c>
      <c r="L2924" s="1466" t="s">
        <v>2127</v>
      </c>
      <c r="M2924" s="1467">
        <v>5.0788E-2</v>
      </c>
      <c r="N2924" s="1468">
        <v>1.9344718386623274</v>
      </c>
      <c r="O2924" s="1468"/>
    </row>
    <row r="2925" spans="11:15">
      <c r="K2925" s="1465">
        <v>44982</v>
      </c>
      <c r="L2925" s="1466"/>
      <c r="M2925" s="1467">
        <v>0</v>
      </c>
      <c r="N2925" s="1468">
        <v>1.9344718386623274</v>
      </c>
      <c r="O2925" s="1468"/>
    </row>
    <row r="2926" spans="11:15">
      <c r="K2926" s="1465">
        <v>44983</v>
      </c>
      <c r="L2926" s="1466"/>
      <c r="M2926" s="1467">
        <v>0</v>
      </c>
      <c r="N2926" s="1468">
        <v>1.9344718386623274</v>
      </c>
      <c r="O2926" s="1468"/>
    </row>
    <row r="2927" spans="11:15">
      <c r="K2927" s="1465">
        <v>44984</v>
      </c>
      <c r="L2927" s="1466" t="s">
        <v>2127</v>
      </c>
      <c r="M2927" s="1467">
        <v>5.0788E-2</v>
      </c>
      <c r="N2927" s="1468">
        <v>1.9354543182197472</v>
      </c>
      <c r="O2927" s="1468"/>
    </row>
    <row r="2928" spans="11:15">
      <c r="K2928" s="1465">
        <v>44985</v>
      </c>
      <c r="L2928" s="1466" t="s">
        <v>2127</v>
      </c>
      <c r="M2928" s="1467">
        <v>5.0788E-2</v>
      </c>
      <c r="N2928" s="1468">
        <v>1.9364372967588848</v>
      </c>
      <c r="O2928" s="1468"/>
    </row>
    <row r="2929" spans="11:15">
      <c r="K2929" s="1465">
        <v>44986</v>
      </c>
      <c r="L2929" s="1466" t="s">
        <v>2127</v>
      </c>
      <c r="M2929" s="1467">
        <v>5.0788E-2</v>
      </c>
      <c r="N2929" s="1468">
        <v>1.9374207745331626</v>
      </c>
      <c r="O2929" s="1468"/>
    </row>
    <row r="2930" spans="11:15">
      <c r="K2930" s="1465">
        <v>44987</v>
      </c>
      <c r="L2930" s="1469" t="s">
        <v>2127</v>
      </c>
      <c r="M2930" s="849">
        <v>5.0788E-2</v>
      </c>
      <c r="N2930" s="1469">
        <v>1.9384047517961325</v>
      </c>
      <c r="O2930" s="1469"/>
    </row>
    <row r="2931" spans="11:15">
      <c r="K2931" s="1465">
        <v>44988</v>
      </c>
      <c r="L2931" s="1469" t="s">
        <v>2127</v>
      </c>
      <c r="M2931" s="849">
        <v>5.0788E-2</v>
      </c>
      <c r="N2931" s="1469">
        <v>1.9393892288014747</v>
      </c>
      <c r="O2931" s="1469"/>
    </row>
    <row r="2932" spans="11:15">
      <c r="K2932" s="1465">
        <v>44989</v>
      </c>
      <c r="L2932" s="1469"/>
      <c r="M2932" s="849">
        <v>0</v>
      </c>
      <c r="N2932" s="1469">
        <v>1.9393892288014747</v>
      </c>
      <c r="O2932" s="1469"/>
    </row>
    <row r="2933" spans="11:15">
      <c r="K2933" s="1465">
        <v>44990</v>
      </c>
      <c r="L2933" s="1469"/>
      <c r="M2933" s="849">
        <v>0</v>
      </c>
      <c r="N2933" s="1469">
        <v>1.9393892288014747</v>
      </c>
      <c r="O2933" s="1469"/>
    </row>
    <row r="2934" spans="11:15">
      <c r="K2934" s="1465">
        <v>44991</v>
      </c>
      <c r="L2934" s="1469" t="s">
        <v>2127</v>
      </c>
      <c r="M2934" s="849">
        <v>5.0788E-2</v>
      </c>
      <c r="N2934" s="1469">
        <v>1.9403742058029985</v>
      </c>
      <c r="O2934" s="1469"/>
    </row>
    <row r="2935" spans="11:15">
      <c r="K2935" s="1465">
        <v>44992</v>
      </c>
      <c r="L2935" s="1469" t="s">
        <v>2127</v>
      </c>
      <c r="M2935" s="849">
        <v>5.0788E-2</v>
      </c>
      <c r="N2935" s="1469">
        <v>1.9413596830546418</v>
      </c>
      <c r="O2935" s="1469"/>
    </row>
    <row r="2936" spans="11:15">
      <c r="K2936" s="1465">
        <v>44993</v>
      </c>
      <c r="L2936" s="1469" t="s">
        <v>2127</v>
      </c>
      <c r="M2936" s="849">
        <v>5.0788E-2</v>
      </c>
      <c r="N2936" s="1469">
        <v>1.9423456608104717</v>
      </c>
      <c r="O2936" s="1469"/>
    </row>
    <row r="2937" spans="11:15">
      <c r="K2937" s="1465">
        <v>44994</v>
      </c>
      <c r="L2937" s="1469" t="s">
        <v>2127</v>
      </c>
      <c r="M2937" s="849">
        <v>5.0788E-2</v>
      </c>
      <c r="N2937" s="1469">
        <v>1.9433321393246841</v>
      </c>
      <c r="O2937" s="1469"/>
    </row>
    <row r="2938" spans="11:15">
      <c r="K2938" s="1465">
        <v>44995</v>
      </c>
      <c r="L2938" s="1469" t="s">
        <v>2127</v>
      </c>
      <c r="M2938" s="849">
        <v>5.0788E-2</v>
      </c>
      <c r="N2938" s="1469">
        <v>1.9443191188516042</v>
      </c>
      <c r="O2938" s="1469"/>
    </row>
    <row r="2939" spans="11:15">
      <c r="K2939" s="1465">
        <v>44996</v>
      </c>
      <c r="L2939" s="1469"/>
      <c r="M2939" s="849">
        <v>0</v>
      </c>
      <c r="N2939" s="1469">
        <v>1.9443191188516042</v>
      </c>
      <c r="O2939" s="1469"/>
    </row>
    <row r="2940" spans="11:15">
      <c r="K2940" s="1465">
        <v>44997</v>
      </c>
      <c r="L2940" s="1469"/>
      <c r="M2940" s="849">
        <v>0</v>
      </c>
      <c r="N2940" s="1469">
        <v>1.9443191188516042</v>
      </c>
      <c r="O2940" s="1469"/>
    </row>
    <row r="2941" spans="11:15">
      <c r="K2941" s="1465">
        <v>44998</v>
      </c>
      <c r="L2941" s="1469" t="s">
        <v>2127</v>
      </c>
      <c r="M2941" s="849">
        <v>5.0788E-2</v>
      </c>
      <c r="N2941" s="1469">
        <v>1.9453065996456866</v>
      </c>
      <c r="O2941" s="1469"/>
    </row>
    <row r="2942" spans="11:15">
      <c r="K2942" s="1465">
        <v>44999</v>
      </c>
      <c r="L2942" s="1469" t="s">
        <v>2127</v>
      </c>
      <c r="M2942" s="849">
        <v>5.0788E-2</v>
      </c>
      <c r="N2942" s="1469">
        <v>1.9462945819615147</v>
      </c>
      <c r="O2942" s="1469"/>
    </row>
    <row r="2943" spans="11:15">
      <c r="K2943" s="1465">
        <v>45000</v>
      </c>
      <c r="L2943" s="1469" t="s">
        <v>2127</v>
      </c>
      <c r="M2943" s="849">
        <v>5.0788E-2</v>
      </c>
      <c r="N2943" s="1469">
        <v>1.9472830660538014</v>
      </c>
      <c r="O2943" s="1469"/>
    </row>
    <row r="2944" spans="11:15">
      <c r="K2944" s="1465">
        <v>45001</v>
      </c>
      <c r="L2944" s="1469" t="s">
        <v>2127</v>
      </c>
      <c r="M2944" s="849">
        <v>5.0788E-2</v>
      </c>
      <c r="N2944" s="1469">
        <v>1.9482720521773889</v>
      </c>
      <c r="O2944" s="1469"/>
    </row>
    <row r="2945" spans="11:15">
      <c r="K2945" s="1465">
        <v>45002</v>
      </c>
      <c r="L2945" s="1469" t="s">
        <v>2127</v>
      </c>
      <c r="M2945" s="849">
        <v>5.0788E-2</v>
      </c>
      <c r="N2945" s="1469">
        <v>1.9492615405872487</v>
      </c>
      <c r="O2945" s="1469"/>
    </row>
    <row r="2946" spans="11:15">
      <c r="K2946" s="1465">
        <v>45003</v>
      </c>
      <c r="L2946" s="1469"/>
      <c r="M2946" s="849">
        <v>0</v>
      </c>
      <c r="N2946" s="1469">
        <v>1.9492615405872487</v>
      </c>
      <c r="O2946" s="1469"/>
    </row>
    <row r="2947" spans="11:15">
      <c r="K2947" s="1465">
        <v>45004</v>
      </c>
      <c r="L2947" s="1469"/>
      <c r="M2947" s="849">
        <v>0</v>
      </c>
      <c r="N2947" s="1469">
        <v>1.9492615405872487</v>
      </c>
      <c r="O2947" s="1469"/>
    </row>
    <row r="2948" spans="11:15">
      <c r="K2948" s="1465">
        <v>45005</v>
      </c>
      <c r="L2948" s="1469" t="s">
        <v>2127</v>
      </c>
      <c r="M2948" s="849">
        <v>5.0788E-2</v>
      </c>
      <c r="N2948" s="1469">
        <v>1.9502515315384821</v>
      </c>
      <c r="O2948" s="1469"/>
    </row>
    <row r="2949" spans="11:15">
      <c r="K2949" s="1465">
        <v>45006</v>
      </c>
      <c r="L2949" s="1469" t="s">
        <v>2127</v>
      </c>
      <c r="M2949" s="849">
        <v>5.0788E-2</v>
      </c>
      <c r="N2949" s="1469">
        <v>1.9512420252863198</v>
      </c>
      <c r="O2949" s="1469"/>
    </row>
    <row r="2950" spans="11:15">
      <c r="K2950" s="1465">
        <v>45007</v>
      </c>
      <c r="L2950" s="1469" t="s">
        <v>2127</v>
      </c>
      <c r="M2950" s="849">
        <v>5.0788E-2</v>
      </c>
      <c r="N2950" s="1469">
        <v>1.9522330220861224</v>
      </c>
      <c r="O2950" s="1469"/>
    </row>
    <row r="2951" spans="11:15">
      <c r="K2951" s="1465">
        <v>45008</v>
      </c>
      <c r="L2951" s="1469" t="s">
        <v>2127</v>
      </c>
      <c r="M2951" s="849">
        <v>5.0788E-2</v>
      </c>
      <c r="N2951" s="1469">
        <v>1.9532245221933795</v>
      </c>
      <c r="O2951" s="1469"/>
    </row>
    <row r="2952" spans="11:15">
      <c r="K2952" s="1465">
        <v>45009</v>
      </c>
      <c r="L2952" s="1469" t="s">
        <v>2127</v>
      </c>
      <c r="M2952" s="849">
        <v>5.0788E-2</v>
      </c>
      <c r="N2952" s="1469">
        <v>1.9542165258637112</v>
      </c>
      <c r="O2952" s="1469"/>
    </row>
    <row r="2953" spans="11:15">
      <c r="K2953" s="1465">
        <v>45010</v>
      </c>
      <c r="L2953" s="1469"/>
      <c r="M2953" s="849">
        <v>0</v>
      </c>
      <c r="N2953" s="1469">
        <v>1.9542165258637112</v>
      </c>
      <c r="O2953" s="1469"/>
    </row>
    <row r="2954" spans="11:15">
      <c r="K2954" s="1465">
        <v>45011</v>
      </c>
      <c r="L2954" s="1469"/>
      <c r="M2954" s="849">
        <v>0</v>
      </c>
      <c r="N2954" s="1469">
        <v>1.9542165258637112</v>
      </c>
      <c r="O2954" s="1469"/>
    </row>
    <row r="2955" spans="11:15">
      <c r="K2955" s="1465">
        <v>45012</v>
      </c>
      <c r="L2955" s="1469" t="s">
        <v>2127</v>
      </c>
      <c r="M2955" s="849">
        <v>5.0788E-2</v>
      </c>
      <c r="N2955" s="1469">
        <v>1.9552090333528669</v>
      </c>
      <c r="O2955" s="1469"/>
    </row>
    <row r="2956" spans="11:15">
      <c r="K2956" s="1465">
        <v>45013</v>
      </c>
      <c r="L2956" s="1469" t="s">
        <v>2127</v>
      </c>
      <c r="M2956" s="849">
        <v>5.0788E-2</v>
      </c>
      <c r="N2956" s="1469">
        <v>1.9562020449167261</v>
      </c>
      <c r="O2956" s="1469"/>
    </row>
    <row r="2957" spans="11:15">
      <c r="K2957" s="1465">
        <v>45014</v>
      </c>
      <c r="L2957" s="1469" t="s">
        <v>2127</v>
      </c>
      <c r="M2957" s="849">
        <v>5.0788E-2</v>
      </c>
      <c r="N2957" s="1469">
        <v>1.9571955608112985</v>
      </c>
      <c r="O2957" s="1469"/>
    </row>
    <row r="2958" spans="11:15">
      <c r="K2958" s="1465">
        <v>45015</v>
      </c>
      <c r="L2958" s="1469" t="s">
        <v>2127</v>
      </c>
      <c r="M2958" s="849">
        <v>5.0788E-2</v>
      </c>
      <c r="N2958" s="1469">
        <v>1.9581895812927235</v>
      </c>
      <c r="O2958" s="1469"/>
    </row>
    <row r="2959" spans="11:15">
      <c r="K2959" s="1465">
        <v>45016</v>
      </c>
      <c r="L2959" s="1469" t="s">
        <v>2127</v>
      </c>
      <c r="M2959" s="849">
        <v>5.0788E-2</v>
      </c>
      <c r="N2959" s="1469">
        <v>1.9591841066172704</v>
      </c>
      <c r="O2959" s="1469"/>
    </row>
    <row r="2960" spans="11:15">
      <c r="K2960" s="1465">
        <v>45017</v>
      </c>
      <c r="L2960" s="1469"/>
      <c r="M2960" s="849">
        <v>0</v>
      </c>
      <c r="N2960" s="1469">
        <v>1.9591841066172704</v>
      </c>
      <c r="O2960" s="1469"/>
    </row>
    <row r="2961" spans="11:15">
      <c r="K2961" s="1465">
        <v>45018</v>
      </c>
      <c r="L2961" s="1469"/>
      <c r="M2961" s="849">
        <v>0</v>
      </c>
      <c r="N2961" s="1469">
        <v>1.9591841066172704</v>
      </c>
      <c r="O2961" s="1469"/>
    </row>
    <row r="2962" spans="11:15">
      <c r="K2962" s="1465">
        <v>45019</v>
      </c>
      <c r="L2962" s="1469" t="s">
        <v>2127</v>
      </c>
      <c r="M2962" s="849">
        <v>5.0788E-2</v>
      </c>
      <c r="N2962" s="1469">
        <v>1.9601791370413393</v>
      </c>
      <c r="O2962" s="1469"/>
    </row>
    <row r="2963" spans="11:15">
      <c r="K2963" s="1465">
        <v>45020</v>
      </c>
      <c r="L2963" s="1469" t="s">
        <v>2127</v>
      </c>
      <c r="M2963" s="849">
        <v>5.0788E-2</v>
      </c>
      <c r="N2963" s="1469">
        <v>1.9611746728214599</v>
      </c>
      <c r="O2963" s="1469"/>
    </row>
    <row r="2964" spans="11:15">
      <c r="K2964" s="1465">
        <v>45021</v>
      </c>
      <c r="L2964" s="1469" t="s">
        <v>2127</v>
      </c>
      <c r="M2964" s="849">
        <v>5.0788E-2</v>
      </c>
      <c r="N2964" s="1469">
        <v>1.9621707142142923</v>
      </c>
      <c r="O2964" s="1469"/>
    </row>
    <row r="2965" spans="11:15">
      <c r="K2965" s="1465">
        <v>45022</v>
      </c>
      <c r="L2965" s="1469" t="s">
        <v>2127</v>
      </c>
      <c r="M2965" s="849">
        <v>5.0788E-2</v>
      </c>
      <c r="N2965" s="1469">
        <v>1.9631672614766276</v>
      </c>
      <c r="O2965" s="1469"/>
    </row>
    <row r="2966" spans="11:15">
      <c r="K2966" s="1465">
        <v>45023</v>
      </c>
      <c r="L2966" s="1469"/>
      <c r="M2966" s="849">
        <v>0</v>
      </c>
      <c r="N2966" s="1469">
        <v>1.9631672614766276</v>
      </c>
      <c r="O2966" s="1469"/>
    </row>
    <row r="2967" spans="11:15">
      <c r="K2967" s="1465">
        <v>45024</v>
      </c>
      <c r="L2967" s="1469"/>
      <c r="M2967" s="849">
        <v>0</v>
      </c>
      <c r="N2967" s="1469">
        <v>1.9631672614766276</v>
      </c>
      <c r="O2967" s="1469"/>
    </row>
    <row r="2968" spans="11:15">
      <c r="K2968" s="1465">
        <v>45025</v>
      </c>
      <c r="L2968" s="1469"/>
      <c r="M2968" s="849">
        <v>0</v>
      </c>
      <c r="N2968" s="1469">
        <v>1.9631672614766276</v>
      </c>
      <c r="O2968" s="1469"/>
    </row>
    <row r="2969" spans="11:15">
      <c r="K2969" s="1465">
        <v>45026</v>
      </c>
      <c r="L2969" s="1469" t="s">
        <v>2127</v>
      </c>
      <c r="M2969" s="849">
        <v>5.0788E-2</v>
      </c>
      <c r="N2969" s="1469">
        <v>1.9641643148653865</v>
      </c>
      <c r="O2969" s="1469"/>
    </row>
    <row r="2970" spans="11:15">
      <c r="K2970" s="1465">
        <v>45027</v>
      </c>
      <c r="L2970" s="1469" t="s">
        <v>2127</v>
      </c>
      <c r="M2970" s="849">
        <v>5.0788E-2</v>
      </c>
      <c r="N2970" s="1469">
        <v>1.9651618746376203</v>
      </c>
      <c r="O2970" s="1469"/>
    </row>
    <row r="2971" spans="11:15">
      <c r="K2971" s="1465">
        <v>45028</v>
      </c>
      <c r="L2971" s="1469" t="s">
        <v>2127</v>
      </c>
      <c r="M2971" s="849">
        <v>5.0788E-2</v>
      </c>
      <c r="N2971" s="1469">
        <v>1.9661599410505113</v>
      </c>
      <c r="O2971" s="1469"/>
    </row>
    <row r="2972" spans="11:15">
      <c r="K2972" s="1465">
        <v>45029</v>
      </c>
      <c r="L2972" s="1469" t="s">
        <v>2127</v>
      </c>
      <c r="M2972" s="849">
        <v>5.0788E-2</v>
      </c>
      <c r="N2972" s="1469">
        <v>1.9671585143613721</v>
      </c>
      <c r="O2972" s="1469"/>
    </row>
    <row r="2973" spans="11:15">
      <c r="K2973" s="1465">
        <v>45030</v>
      </c>
      <c r="L2973" s="1469" t="s">
        <v>2127</v>
      </c>
      <c r="M2973" s="849">
        <v>5.0788E-2</v>
      </c>
      <c r="N2973" s="1469">
        <v>1.968157594827646</v>
      </c>
      <c r="O2973" s="1469"/>
    </row>
    <row r="2974" spans="11:15">
      <c r="K2974" s="1465">
        <v>45031</v>
      </c>
      <c r="L2974" s="1469"/>
      <c r="M2974" s="849">
        <v>0</v>
      </c>
      <c r="N2974" s="1469">
        <v>1.968157594827646</v>
      </c>
      <c r="O2974" s="1469"/>
    </row>
    <row r="2975" spans="11:15">
      <c r="K2975" s="1465">
        <v>45032</v>
      </c>
      <c r="L2975" s="1469"/>
      <c r="M2975" s="849">
        <v>0</v>
      </c>
      <c r="N2975" s="1469">
        <v>1.968157594827646</v>
      </c>
      <c r="O2975" s="1469"/>
    </row>
    <row r="2976" spans="11:15">
      <c r="K2976" s="1465">
        <v>45033</v>
      </c>
      <c r="L2976" s="1469" t="s">
        <v>2127</v>
      </c>
      <c r="M2976" s="849">
        <v>5.0788E-2</v>
      </c>
      <c r="N2976" s="1469">
        <v>1.969157182706907</v>
      </c>
      <c r="O2976" s="1469"/>
    </row>
    <row r="2977" spans="11:15">
      <c r="K2977" s="1465">
        <v>45034</v>
      </c>
      <c r="L2977" s="1469" t="s">
        <v>2127</v>
      </c>
      <c r="M2977" s="849">
        <v>5.0788E-2</v>
      </c>
      <c r="N2977" s="1469">
        <v>1.9701572782568602</v>
      </c>
      <c r="O2977" s="1469"/>
    </row>
    <row r="2978" spans="11:15">
      <c r="K2978" s="1465">
        <v>45035</v>
      </c>
      <c r="L2978" s="1469" t="s">
        <v>2127</v>
      </c>
      <c r="M2978" s="849">
        <v>5.0788E-2</v>
      </c>
      <c r="N2978" s="1469">
        <v>1.9711578817353412</v>
      </c>
      <c r="O2978" s="1469"/>
    </row>
    <row r="2979" spans="11:15">
      <c r="K2979" s="1465">
        <v>45036</v>
      </c>
      <c r="L2979" s="1469" t="s">
        <v>2127</v>
      </c>
      <c r="M2979" s="849">
        <v>5.0788E-2</v>
      </c>
      <c r="N2979" s="1469">
        <v>1.972158993400317</v>
      </c>
      <c r="O2979" s="1469"/>
    </row>
    <row r="2980" spans="11:15">
      <c r="K2980" s="1465">
        <v>45037</v>
      </c>
      <c r="L2980" s="1469"/>
      <c r="M2980" s="849">
        <v>0</v>
      </c>
      <c r="N2980" s="1469">
        <v>1.972158993400317</v>
      </c>
      <c r="O2980" s="1469"/>
    </row>
    <row r="2981" spans="11:15">
      <c r="K2981" s="1465">
        <v>45038</v>
      </c>
      <c r="L2981" s="1469"/>
      <c r="M2981" s="849">
        <v>0</v>
      </c>
      <c r="N2981" s="1469">
        <v>1.972158993400317</v>
      </c>
      <c r="O2981" s="1469"/>
    </row>
    <row r="2982" spans="11:15">
      <c r="K2982" s="1465">
        <v>45039</v>
      </c>
      <c r="L2982" s="1469"/>
      <c r="M2982" s="849">
        <v>0</v>
      </c>
      <c r="N2982" s="1469">
        <v>1.972158993400317</v>
      </c>
      <c r="O2982" s="1469"/>
    </row>
    <row r="2983" spans="11:15">
      <c r="K2983" s="1465">
        <v>45040</v>
      </c>
      <c r="L2983" s="1469" t="s">
        <v>2127</v>
      </c>
      <c r="M2983" s="849">
        <v>5.0788E-2</v>
      </c>
      <c r="N2983" s="1469">
        <v>1.9731606135098851</v>
      </c>
      <c r="O2983" s="1469"/>
    </row>
    <row r="2984" spans="11:15">
      <c r="K2984" s="1465">
        <v>45041</v>
      </c>
      <c r="L2984" s="1469" t="s">
        <v>2127</v>
      </c>
      <c r="M2984" s="849">
        <v>5.0788E-2</v>
      </c>
      <c r="N2984" s="1469">
        <v>1.9741627423222745</v>
      </c>
      <c r="O2984" s="1469"/>
    </row>
    <row r="2985" spans="11:15">
      <c r="K2985" s="1465">
        <v>45042</v>
      </c>
      <c r="L2985" s="1469" t="s">
        <v>2127</v>
      </c>
      <c r="M2985" s="849">
        <v>5.0788E-2</v>
      </c>
      <c r="N2985" s="1469">
        <v>1.9751653800958451</v>
      </c>
      <c r="O2985" s="1469"/>
    </row>
    <row r="2986" spans="11:15">
      <c r="K2986" s="1465">
        <v>45043</v>
      </c>
      <c r="L2986" s="1469" t="s">
        <v>2127</v>
      </c>
      <c r="M2986" s="849">
        <v>5.0788E-2</v>
      </c>
      <c r="N2986" s="1469">
        <v>1.9761685270890883</v>
      </c>
      <c r="O2986" s="1469"/>
    </row>
    <row r="2987" spans="11:15">
      <c r="K2987" s="1465">
        <v>45044</v>
      </c>
      <c r="L2987" s="1469" t="s">
        <v>2127</v>
      </c>
      <c r="M2987" s="849">
        <v>5.0788E-2</v>
      </c>
      <c r="N2987" s="1469">
        <v>1.9771721835606264</v>
      </c>
      <c r="O2987" s="1469"/>
    </row>
    <row r="2988" spans="11:15">
      <c r="K2988" s="1465">
        <v>45045</v>
      </c>
      <c r="L2988" s="1469"/>
      <c r="M2988" s="849">
        <v>0</v>
      </c>
      <c r="N2988" s="1469">
        <v>1.9771721835606264</v>
      </c>
      <c r="O2988" s="1469"/>
    </row>
    <row r="2989" spans="11:15">
      <c r="K2989" s="1465">
        <v>45046</v>
      </c>
      <c r="L2989" s="1469"/>
      <c r="M2989" s="849">
        <v>0</v>
      </c>
      <c r="N2989" s="1469">
        <v>1.9771721835606264</v>
      </c>
      <c r="O2989" s="1469"/>
    </row>
    <row r="2990" spans="11:15">
      <c r="K2990" s="1465">
        <v>45047</v>
      </c>
      <c r="L2990" s="1469"/>
      <c r="M2990" s="849">
        <v>0</v>
      </c>
      <c r="N2990" s="1469">
        <v>1.9771721835606264</v>
      </c>
      <c r="O2990" s="1469"/>
    </row>
    <row r="2991" spans="11:15">
      <c r="K2991" s="1465">
        <v>45048</v>
      </c>
      <c r="L2991" s="1469" t="s">
        <v>2127</v>
      </c>
      <c r="M2991" s="849">
        <v>5.0788E-2</v>
      </c>
      <c r="N2991" s="1469">
        <v>1.9781763497692133</v>
      </c>
      <c r="O2991" s="1469"/>
    </row>
    <row r="2992" spans="11:15">
      <c r="K2992" s="1465">
        <v>45049</v>
      </c>
      <c r="L2992" s="1469" t="s">
        <v>2127</v>
      </c>
      <c r="M2992" s="849">
        <v>5.0788E-2</v>
      </c>
      <c r="N2992" s="1469">
        <v>1.9791810259737341</v>
      </c>
      <c r="O2992" s="1469"/>
    </row>
    <row r="2993" spans="11:15">
      <c r="K2993" s="1465">
        <v>45050</v>
      </c>
      <c r="L2993" s="1469" t="s">
        <v>2127</v>
      </c>
      <c r="M2993" s="849">
        <v>5.0788E-2</v>
      </c>
      <c r="N2993" s="1469">
        <v>1.9801862124332057</v>
      </c>
      <c r="O2993" s="1469"/>
    </row>
    <row r="2994" spans="11:15">
      <c r="K2994" s="1465">
        <v>45051</v>
      </c>
      <c r="L2994" s="1469" t="s">
        <v>2127</v>
      </c>
      <c r="M2994" s="849">
        <v>5.0788E-2</v>
      </c>
      <c r="N2994" s="1469">
        <v>1.9811919094067763</v>
      </c>
      <c r="O2994" s="1469"/>
    </row>
    <row r="2995" spans="11:15">
      <c r="K2995" s="1465">
        <v>45052</v>
      </c>
      <c r="L2995" s="1469"/>
      <c r="M2995" s="849">
        <v>0</v>
      </c>
      <c r="N2995" s="1469">
        <v>1.9811919094067763</v>
      </c>
      <c r="O2995" s="1469"/>
    </row>
    <row r="2996" spans="11:15">
      <c r="K2996" s="1465">
        <v>45053</v>
      </c>
      <c r="L2996" s="1469"/>
      <c r="M2996" s="849">
        <v>0</v>
      </c>
      <c r="N2996" s="1469">
        <v>1.9811919094067763</v>
      </c>
      <c r="O2996" s="1469"/>
    </row>
    <row r="2997" spans="11:15">
      <c r="K2997" s="1465">
        <v>45054</v>
      </c>
      <c r="L2997" s="1469" t="s">
        <v>2127</v>
      </c>
      <c r="M2997" s="849">
        <v>5.0788E-2</v>
      </c>
      <c r="N2997" s="1469">
        <v>1.9821981171537257</v>
      </c>
      <c r="O2997" s="1469"/>
    </row>
    <row r="2998" spans="11:15">
      <c r="K2998" s="1465">
        <v>45055</v>
      </c>
      <c r="L2998" s="1469" t="s">
        <v>2127</v>
      </c>
      <c r="M2998" s="849">
        <v>5.0788E-2</v>
      </c>
      <c r="N2998" s="1469">
        <v>1.9832048359334657</v>
      </c>
      <c r="O2998" s="1469"/>
    </row>
    <row r="2999" spans="11:15">
      <c r="K2999" s="1465">
        <v>45056</v>
      </c>
      <c r="L2999" s="1469" t="s">
        <v>2127</v>
      </c>
      <c r="M2999" s="849">
        <v>5.0788E-2</v>
      </c>
      <c r="N2999" s="1469">
        <v>1.9842120660055396</v>
      </c>
      <c r="O2999" s="1469"/>
    </row>
    <row r="3000" spans="11:15">
      <c r="K3000" s="1465">
        <v>45057</v>
      </c>
      <c r="L3000" s="1469" t="s">
        <v>2127</v>
      </c>
      <c r="M3000" s="849">
        <v>5.0788E-2</v>
      </c>
      <c r="N3000" s="1469">
        <v>1.9852198076296226</v>
      </c>
      <c r="O3000" s="1469"/>
    </row>
    <row r="3001" spans="11:15">
      <c r="K3001" s="1465">
        <v>45058</v>
      </c>
      <c r="L3001" s="1469" t="s">
        <v>2127</v>
      </c>
      <c r="M3001" s="849">
        <v>5.0788E-2</v>
      </c>
      <c r="N3001" s="1469">
        <v>1.9862280610655216</v>
      </c>
      <c r="O3001" s="1469"/>
    </row>
    <row r="3002" spans="11:15">
      <c r="K3002" s="1465">
        <v>45059</v>
      </c>
      <c r="L3002" s="1469"/>
      <c r="M3002" s="849">
        <v>0</v>
      </c>
      <c r="N3002" s="1469">
        <v>1.9862280610655216</v>
      </c>
      <c r="O3002" s="1469"/>
    </row>
    <row r="3003" spans="11:15">
      <c r="K3003" s="1465">
        <v>45060</v>
      </c>
      <c r="L3003" s="1469"/>
      <c r="M3003" s="849">
        <v>0</v>
      </c>
      <c r="N3003" s="1469">
        <v>1.9862280610655216</v>
      </c>
      <c r="O3003" s="1469"/>
    </row>
    <row r="3004" spans="11:15">
      <c r="K3004" s="1465">
        <v>45061</v>
      </c>
      <c r="L3004" s="1469" t="s">
        <v>2127</v>
      </c>
      <c r="M3004" s="849">
        <v>5.0788E-2</v>
      </c>
      <c r="N3004" s="1469">
        <v>1.9872368265731757</v>
      </c>
      <c r="O3004" s="1469"/>
    </row>
    <row r="3005" spans="11:15">
      <c r="K3005" s="1465">
        <v>45062</v>
      </c>
      <c r="L3005" s="1469" t="s">
        <v>2127</v>
      </c>
      <c r="M3005" s="849">
        <v>5.0788E-2</v>
      </c>
      <c r="N3005" s="1469">
        <v>1.9882461044126558</v>
      </c>
      <c r="O3005" s="1469"/>
    </row>
    <row r="3006" spans="11:15">
      <c r="K3006" s="1465">
        <v>45063</v>
      </c>
      <c r="L3006" s="1469" t="s">
        <v>2127</v>
      </c>
      <c r="M3006" s="849">
        <v>5.0788E-2</v>
      </c>
      <c r="N3006" s="1469">
        <v>1.989255894844165</v>
      </c>
      <c r="O3006" s="1469"/>
    </row>
    <row r="3007" spans="11:15">
      <c r="K3007" s="1465">
        <v>45064</v>
      </c>
      <c r="L3007" s="1469" t="s">
        <v>2127</v>
      </c>
      <c r="M3007" s="849">
        <v>5.0788E-2</v>
      </c>
      <c r="N3007" s="1469">
        <v>1.9902661981280385</v>
      </c>
      <c r="O3007" s="1469"/>
    </row>
    <row r="3008" spans="11:15">
      <c r="K3008" s="1465">
        <v>45065</v>
      </c>
      <c r="L3008" s="1469" t="s">
        <v>2127</v>
      </c>
      <c r="M3008" s="849">
        <v>5.0788E-2</v>
      </c>
      <c r="N3008" s="1469">
        <v>1.9912770145247438</v>
      </c>
      <c r="O3008" s="1469"/>
    </row>
    <row r="3009" spans="11:15">
      <c r="K3009" s="1465">
        <v>45066</v>
      </c>
      <c r="L3009" s="1469"/>
      <c r="M3009" s="849">
        <v>0</v>
      </c>
      <c r="N3009" s="1469">
        <v>1.9912770145247438</v>
      </c>
      <c r="O3009" s="1469"/>
    </row>
    <row r="3010" spans="11:15">
      <c r="K3010" s="1465">
        <v>45067</v>
      </c>
      <c r="L3010" s="1469"/>
      <c r="M3010" s="849">
        <v>0</v>
      </c>
      <c r="N3010" s="1469">
        <v>1.9912770145247438</v>
      </c>
      <c r="O3010" s="1469"/>
    </row>
    <row r="3011" spans="11:15">
      <c r="K3011" s="1465">
        <v>45068</v>
      </c>
      <c r="L3011" s="1469" t="s">
        <v>2127</v>
      </c>
      <c r="M3011" s="849">
        <v>5.0788E-2</v>
      </c>
      <c r="N3011" s="1469">
        <v>1.9922883442948807</v>
      </c>
      <c r="O3011" s="1469"/>
    </row>
    <row r="3012" spans="11:15">
      <c r="K3012" s="1465">
        <v>45069</v>
      </c>
      <c r="L3012" s="1469" t="s">
        <v>2127</v>
      </c>
      <c r="M3012" s="849">
        <v>5.0788E-2</v>
      </c>
      <c r="N3012" s="1469">
        <v>1.9933001876991812</v>
      </c>
      <c r="O3012" s="1469"/>
    </row>
    <row r="3013" spans="11:15">
      <c r="K3013" s="1465">
        <v>45070</v>
      </c>
      <c r="L3013" s="1469" t="s">
        <v>2127</v>
      </c>
      <c r="M3013" s="849">
        <v>5.0788E-2</v>
      </c>
      <c r="N3013" s="1469">
        <v>1.9943125449985097</v>
      </c>
      <c r="O3013" s="1469"/>
    </row>
    <row r="3014" spans="11:15">
      <c r="K3014" s="1465">
        <v>45071</v>
      </c>
      <c r="L3014" s="1469" t="s">
        <v>2127</v>
      </c>
      <c r="M3014" s="849">
        <v>5.0788E-2</v>
      </c>
      <c r="N3014" s="1469">
        <v>1.9953254164538636</v>
      </c>
      <c r="O3014" s="1469"/>
    </row>
    <row r="3015" spans="11:15">
      <c r="K3015" s="1465">
        <v>45072</v>
      </c>
      <c r="L3015" s="1469" t="s">
        <v>2127</v>
      </c>
      <c r="M3015" s="849">
        <v>5.0788E-2</v>
      </c>
      <c r="N3015" s="1469">
        <v>1.9963388023263722</v>
      </c>
      <c r="O3015" s="1469"/>
    </row>
    <row r="3016" spans="11:15">
      <c r="K3016" s="1465">
        <v>45073</v>
      </c>
      <c r="L3016" s="1469"/>
      <c r="M3016" s="849">
        <v>0</v>
      </c>
      <c r="N3016" s="1469">
        <v>1.9963388023263722</v>
      </c>
      <c r="O3016" s="1469"/>
    </row>
    <row r="3017" spans="11:15">
      <c r="K3017" s="1465">
        <v>45074</v>
      </c>
      <c r="L3017" s="1469"/>
      <c r="M3017" s="849">
        <v>0</v>
      </c>
      <c r="N3017" s="1469">
        <v>1.9963388023263722</v>
      </c>
      <c r="O3017" s="1469"/>
    </row>
    <row r="3018" spans="11:15">
      <c r="K3018" s="1465">
        <v>45075</v>
      </c>
      <c r="L3018" s="1469" t="s">
        <v>2127</v>
      </c>
      <c r="M3018" s="849">
        <v>5.0788E-2</v>
      </c>
      <c r="N3018" s="1469">
        <v>1.9973527028772977</v>
      </c>
      <c r="O3018" s="1469"/>
    </row>
    <row r="3019" spans="11:15">
      <c r="K3019" s="1465">
        <v>45076</v>
      </c>
      <c r="L3019" s="1469" t="s">
        <v>2127</v>
      </c>
      <c r="M3019" s="849">
        <v>5.0788E-2</v>
      </c>
      <c r="N3019" s="1469">
        <v>1.9983671183680352</v>
      </c>
      <c r="O3019" s="1469"/>
    </row>
    <row r="3020" spans="11:15">
      <c r="K3020" s="1465">
        <v>45077</v>
      </c>
      <c r="L3020" s="1469" t="s">
        <v>2127</v>
      </c>
      <c r="M3020" s="849">
        <v>5.0788E-2</v>
      </c>
      <c r="N3020" s="1469">
        <v>1.999382049060112</v>
      </c>
      <c r="O3020" s="1469"/>
    </row>
    <row r="3021" spans="11:15">
      <c r="K3021" s="1465">
        <v>45078</v>
      </c>
      <c r="L3021" s="1469" t="s">
        <v>2127</v>
      </c>
      <c r="M3021" s="849">
        <v>5.0788E-2</v>
      </c>
      <c r="N3021" s="1469">
        <v>2.0003974952151888</v>
      </c>
      <c r="O3021" s="1469"/>
    </row>
    <row r="3022" spans="11:15">
      <c r="K3022" s="1465">
        <v>45079</v>
      </c>
      <c r="L3022" s="1469" t="s">
        <v>2127</v>
      </c>
      <c r="M3022" s="849">
        <v>5.0788E-2</v>
      </c>
      <c r="N3022" s="1469">
        <v>2.0014134570950586</v>
      </c>
      <c r="O3022" s="1469"/>
    </row>
    <row r="3023" spans="11:15">
      <c r="K3023" s="1465">
        <v>45080</v>
      </c>
      <c r="L3023" s="1469"/>
      <c r="M3023" s="849">
        <v>0</v>
      </c>
      <c r="N3023" s="1469">
        <v>2.0014134570950586</v>
      </c>
      <c r="O3023" s="1469"/>
    </row>
    <row r="3024" spans="11:15">
      <c r="K3024" s="1465">
        <v>45081</v>
      </c>
      <c r="L3024" s="1469"/>
      <c r="M3024" s="849">
        <v>0</v>
      </c>
      <c r="N3024" s="1469">
        <v>2.0014134570950586</v>
      </c>
      <c r="O3024" s="1469"/>
    </row>
    <row r="3025" spans="11:15">
      <c r="K3025" s="1465">
        <v>45082</v>
      </c>
      <c r="L3025" s="1469" t="s">
        <v>2127</v>
      </c>
      <c r="M3025" s="849">
        <v>5.0788E-2</v>
      </c>
      <c r="N3025" s="1469">
        <v>2.0024299349616479</v>
      </c>
      <c r="O3025" s="1469"/>
    </row>
    <row r="3026" spans="11:15">
      <c r="K3026" s="1465">
        <v>45083</v>
      </c>
      <c r="L3026" s="1469" t="s">
        <v>2127</v>
      </c>
      <c r="M3026" s="849">
        <v>5.0788E-2</v>
      </c>
      <c r="N3026" s="1469">
        <v>2.003446929077016</v>
      </c>
      <c r="O3026" s="1469"/>
    </row>
    <row r="3027" spans="11:15">
      <c r="K3027" s="1465">
        <v>45084</v>
      </c>
      <c r="L3027" s="1469" t="s">
        <v>2127</v>
      </c>
      <c r="M3027" s="849">
        <v>5.0788E-2</v>
      </c>
      <c r="N3027" s="1469">
        <v>2.0044644397033555</v>
      </c>
      <c r="O3027" s="1469"/>
    </row>
    <row r="3028" spans="11:15">
      <c r="K3028" s="1465">
        <v>45085</v>
      </c>
      <c r="L3028" s="1469"/>
      <c r="M3028" s="849">
        <v>0</v>
      </c>
      <c r="N3028" s="1469">
        <v>2.0044644397033555</v>
      </c>
      <c r="O3028" s="1469"/>
    </row>
    <row r="3029" spans="11:15">
      <c r="K3029" s="1465">
        <v>45086</v>
      </c>
      <c r="L3029" s="1469" t="s">
        <v>2127</v>
      </c>
      <c r="M3029" s="849">
        <v>5.0788E-2</v>
      </c>
      <c r="N3029" s="1469">
        <v>2.0054824671029921</v>
      </c>
      <c r="O3029" s="1469"/>
    </row>
    <row r="3030" spans="11:15">
      <c r="K3030" s="1465">
        <v>45087</v>
      </c>
      <c r="L3030" s="1469"/>
      <c r="M3030" s="849">
        <v>0</v>
      </c>
      <c r="N3030" s="1469">
        <v>2.0054824671029921</v>
      </c>
      <c r="O3030" s="1469"/>
    </row>
    <row r="3031" spans="11:15">
      <c r="K3031" s="1465">
        <v>45088</v>
      </c>
      <c r="L3031" s="1469"/>
      <c r="M3031" s="849">
        <v>0</v>
      </c>
      <c r="N3031" s="1469">
        <v>2.0054824671029921</v>
      </c>
      <c r="O3031" s="1469"/>
    </row>
    <row r="3032" spans="11:15">
      <c r="K3032" s="1465">
        <v>45089</v>
      </c>
      <c r="L3032" s="1469" t="s">
        <v>2127</v>
      </c>
      <c r="M3032" s="849">
        <v>5.0788E-2</v>
      </c>
      <c r="N3032" s="1469">
        <v>2.0065010115383846</v>
      </c>
      <c r="O3032" s="1469"/>
    </row>
    <row r="3033" spans="11:15">
      <c r="K3033" s="1465">
        <v>45090</v>
      </c>
      <c r="L3033" s="1469" t="s">
        <v>2127</v>
      </c>
      <c r="M3033" s="849">
        <v>5.0788E-2</v>
      </c>
      <c r="N3033" s="1469">
        <v>2.0075200732721248</v>
      </c>
      <c r="O3033" s="1469"/>
    </row>
    <row r="3034" spans="11:15">
      <c r="K3034" s="1465">
        <v>45091</v>
      </c>
      <c r="L3034" s="1469" t="s">
        <v>2127</v>
      </c>
      <c r="M3034" s="849">
        <v>5.0788E-2</v>
      </c>
      <c r="N3034" s="1469">
        <v>2.0085396525669381</v>
      </c>
      <c r="O3034" s="1469"/>
    </row>
    <row r="3035" spans="11:15">
      <c r="K3035" s="1465">
        <v>45092</v>
      </c>
      <c r="L3035" s="1469" t="s">
        <v>2127</v>
      </c>
      <c r="M3035" s="849">
        <v>5.0788E-2</v>
      </c>
      <c r="N3035" s="1469">
        <v>2.0095597496856836</v>
      </c>
      <c r="O3035" s="1469"/>
    </row>
    <row r="3036" spans="11:15">
      <c r="K3036" s="1465">
        <v>45093</v>
      </c>
      <c r="L3036" s="1469" t="s">
        <v>2127</v>
      </c>
      <c r="M3036" s="849">
        <v>5.0788E-2</v>
      </c>
      <c r="N3036" s="1469">
        <v>2.0105803648913541</v>
      </c>
      <c r="O3036" s="1469"/>
    </row>
    <row r="3037" spans="11:15">
      <c r="K3037" s="1465">
        <v>45094</v>
      </c>
      <c r="L3037" s="1469"/>
      <c r="M3037" s="849">
        <v>0</v>
      </c>
      <c r="N3037" s="1469">
        <v>2.0105803648913541</v>
      </c>
      <c r="O3037" s="1469"/>
    </row>
    <row r="3038" spans="11:15">
      <c r="K3038" s="1465">
        <v>45095</v>
      </c>
      <c r="L3038" s="1469"/>
      <c r="M3038" s="849">
        <v>0</v>
      </c>
      <c r="N3038" s="1469">
        <v>2.0105803648913541</v>
      </c>
      <c r="O3038" s="1469"/>
    </row>
    <row r="3039" spans="11:15">
      <c r="K3039" s="1465">
        <v>45096</v>
      </c>
      <c r="L3039" s="1469" t="s">
        <v>2127</v>
      </c>
      <c r="M3039" s="849">
        <v>5.0788E-2</v>
      </c>
      <c r="N3039" s="1469">
        <v>2.0116014984470749</v>
      </c>
      <c r="O3039" s="1469"/>
    </row>
    <row r="3040" spans="11:15">
      <c r="K3040" s="1465">
        <v>45097</v>
      </c>
      <c r="L3040" s="1469" t="s">
        <v>2127</v>
      </c>
      <c r="M3040" s="849">
        <v>5.0788E-2</v>
      </c>
      <c r="N3040" s="1469">
        <v>2.0126231506161063</v>
      </c>
      <c r="O3040" s="1469"/>
    </row>
    <row r="3041" spans="11:15">
      <c r="K3041" s="1465">
        <v>45098</v>
      </c>
      <c r="L3041" s="1469" t="s">
        <v>2127</v>
      </c>
      <c r="M3041" s="849">
        <v>5.0788E-2</v>
      </c>
      <c r="N3041" s="1469">
        <v>2.0136453216618411</v>
      </c>
      <c r="O3041" s="1469"/>
    </row>
    <row r="3042" spans="11:15">
      <c r="K3042" s="1465">
        <v>45099</v>
      </c>
      <c r="L3042" s="1469" t="s">
        <v>2127</v>
      </c>
      <c r="M3042" s="849">
        <v>5.0788E-2</v>
      </c>
      <c r="N3042" s="1469">
        <v>2.0146680118478066</v>
      </c>
      <c r="O3042" s="1469"/>
    </row>
    <row r="3043" spans="11:15">
      <c r="K3043" s="1465">
        <v>45100</v>
      </c>
      <c r="L3043" s="1469" t="s">
        <v>2127</v>
      </c>
      <c r="M3043" s="849">
        <v>5.0788E-2</v>
      </c>
      <c r="N3043" s="1469">
        <v>2.0156912214376641</v>
      </c>
      <c r="O3043" s="1469"/>
    </row>
    <row r="3044" spans="11:15">
      <c r="K3044" s="1465">
        <v>45101</v>
      </c>
      <c r="L3044" s="1469"/>
      <c r="M3044" s="849">
        <v>0</v>
      </c>
      <c r="N3044" s="1469">
        <v>2.0156912214376641</v>
      </c>
      <c r="O3044" s="1469"/>
    </row>
    <row r="3045" spans="11:15">
      <c r="K3045" s="1465">
        <v>45102</v>
      </c>
      <c r="L3045" s="1469"/>
      <c r="M3045" s="849">
        <v>0</v>
      </c>
      <c r="N3045" s="1469">
        <v>2.0156912214376641</v>
      </c>
      <c r="O3045" s="1469"/>
    </row>
    <row r="3046" spans="11:15">
      <c r="K3046" s="1465">
        <v>45103</v>
      </c>
      <c r="L3046" s="1469" t="s">
        <v>2127</v>
      </c>
      <c r="M3046" s="849">
        <v>5.0788E-2</v>
      </c>
      <c r="N3046" s="1469">
        <v>2.0167149506952078</v>
      </c>
      <c r="O3046" s="1469"/>
    </row>
    <row r="3047" spans="11:15">
      <c r="K3047" s="1465">
        <v>45104</v>
      </c>
      <c r="L3047" s="1469" t="s">
        <v>2127</v>
      </c>
      <c r="M3047" s="849">
        <v>5.0788E-2</v>
      </c>
      <c r="N3047" s="1469">
        <v>2.017739199884367</v>
      </c>
      <c r="O3047" s="1469"/>
    </row>
    <row r="3048" spans="11:15">
      <c r="K3048" s="1465">
        <v>45105</v>
      </c>
      <c r="L3048" s="1469" t="s">
        <v>2127</v>
      </c>
      <c r="M3048" s="849">
        <v>5.0788E-2</v>
      </c>
      <c r="N3048" s="1469">
        <v>2.0187639692692043</v>
      </c>
      <c r="O3048" s="1469"/>
    </row>
    <row r="3049" spans="11:15">
      <c r="K3049" s="1465">
        <v>45106</v>
      </c>
      <c r="L3049" s="1469" t="s">
        <v>2127</v>
      </c>
      <c r="M3049" s="849">
        <v>5.0788E-2</v>
      </c>
      <c r="N3049" s="1469">
        <v>2.0197892591139168</v>
      </c>
      <c r="O3049" s="1469"/>
    </row>
    <row r="3050" spans="11:15">
      <c r="K3050" s="1465">
        <v>45107</v>
      </c>
      <c r="L3050" s="1469" t="s">
        <v>2127</v>
      </c>
      <c r="M3050" s="849">
        <v>5.0788E-2</v>
      </c>
      <c r="N3050" s="1469">
        <v>2.0208150696828358</v>
      </c>
      <c r="O3050" s="1469"/>
    </row>
    <row r="3051" spans="11:15">
      <c r="K3051" s="1465">
        <v>45108</v>
      </c>
      <c r="L3051" s="1469"/>
      <c r="M3051" s="849">
        <v>0</v>
      </c>
      <c r="N3051" s="1469">
        <v>2.0208150696828358</v>
      </c>
      <c r="O3051" s="1469"/>
    </row>
    <row r="3052" spans="11:15">
      <c r="K3052" s="1465">
        <v>45109</v>
      </c>
      <c r="L3052" s="1469"/>
      <c r="M3052" s="849">
        <v>0</v>
      </c>
      <c r="N3052" s="1469">
        <v>2.0208150696828358</v>
      </c>
      <c r="O3052" s="1469"/>
    </row>
    <row r="3053" spans="11:15">
      <c r="K3053" s="1465">
        <v>45110</v>
      </c>
      <c r="L3053" s="1469" t="s">
        <v>2127</v>
      </c>
      <c r="M3053" s="849">
        <v>5.0788E-2</v>
      </c>
      <c r="N3053" s="1469">
        <v>2.0218414012404264</v>
      </c>
      <c r="O3053" s="1469"/>
    </row>
    <row r="3054" spans="11:15">
      <c r="K3054" s="1465">
        <v>45111</v>
      </c>
      <c r="L3054" s="1469" t="s">
        <v>2127</v>
      </c>
      <c r="M3054" s="849">
        <v>5.0788E-2</v>
      </c>
      <c r="N3054" s="1469">
        <v>2.0228682540512883</v>
      </c>
      <c r="O3054" s="1469"/>
    </row>
    <row r="3055" spans="11:15">
      <c r="K3055" s="1465">
        <v>45112</v>
      </c>
      <c r="L3055" s="1469" t="s">
        <v>2127</v>
      </c>
      <c r="M3055" s="849">
        <v>5.0788E-2</v>
      </c>
      <c r="N3055" s="1469">
        <v>2.0238956283801559</v>
      </c>
      <c r="O3055" s="1469"/>
    </row>
    <row r="3056" spans="11:15">
      <c r="K3056" s="1465">
        <v>45113</v>
      </c>
      <c r="L3056" s="1469" t="s">
        <v>2127</v>
      </c>
      <c r="M3056" s="849">
        <v>5.0788E-2</v>
      </c>
      <c r="N3056" s="1469">
        <v>2.0249235244918977</v>
      </c>
      <c r="O3056" s="1469"/>
    </row>
    <row r="3057" spans="11:15">
      <c r="K3057" s="1465">
        <v>45114</v>
      </c>
      <c r="L3057" s="1469" t="s">
        <v>2127</v>
      </c>
      <c r="M3057" s="849">
        <v>5.0788E-2</v>
      </c>
      <c r="N3057" s="1469">
        <v>2.0259519426515169</v>
      </c>
      <c r="O3057" s="1469"/>
    </row>
    <row r="3058" spans="11:15">
      <c r="K3058" s="1465">
        <v>45115</v>
      </c>
      <c r="L3058" s="1469"/>
      <c r="M3058" s="849">
        <v>0</v>
      </c>
      <c r="N3058" s="1469">
        <v>2.0259519426515169</v>
      </c>
      <c r="O3058" s="1469"/>
    </row>
    <row r="3059" spans="11:15">
      <c r="K3059" s="1465">
        <v>45116</v>
      </c>
      <c r="L3059" s="1469"/>
      <c r="M3059" s="849">
        <v>0</v>
      </c>
      <c r="N3059" s="1469">
        <v>2.0259519426515169</v>
      </c>
      <c r="O3059" s="1469"/>
    </row>
    <row r="3060" spans="11:15">
      <c r="K3060" s="1465">
        <v>45117</v>
      </c>
      <c r="L3060" s="1469" t="s">
        <v>2127</v>
      </c>
      <c r="M3060" s="849">
        <v>5.0788E-2</v>
      </c>
      <c r="N3060" s="1469">
        <v>2.0269808831241507</v>
      </c>
      <c r="O3060" s="1469"/>
    </row>
    <row r="3061" spans="11:15">
      <c r="K3061" s="1465">
        <v>45118</v>
      </c>
      <c r="L3061" s="1469" t="s">
        <v>2127</v>
      </c>
      <c r="M3061" s="849">
        <v>5.0788E-2</v>
      </c>
      <c r="N3061" s="1469">
        <v>2.0280103461750718</v>
      </c>
      <c r="O3061" s="1469"/>
    </row>
    <row r="3062" spans="11:15">
      <c r="K3062" s="1465">
        <v>45119</v>
      </c>
      <c r="L3062" s="1469" t="s">
        <v>2127</v>
      </c>
      <c r="M3062" s="849">
        <v>5.0788E-2</v>
      </c>
      <c r="N3062" s="1469">
        <v>2.029040332069687</v>
      </c>
      <c r="O3062" s="1469"/>
    </row>
    <row r="3063" spans="11:15">
      <c r="K3063" s="1465">
        <v>45120</v>
      </c>
      <c r="L3063" s="1469" t="s">
        <v>2127</v>
      </c>
      <c r="M3063" s="849">
        <v>5.0788E-2</v>
      </c>
      <c r="N3063" s="1469">
        <v>2.0300708410735386</v>
      </c>
      <c r="O3063" s="1469"/>
    </row>
    <row r="3064" spans="11:15">
      <c r="K3064" s="1465">
        <v>45121</v>
      </c>
      <c r="L3064" s="1469" t="s">
        <v>2127</v>
      </c>
      <c r="M3064" s="849">
        <v>5.0788E-2</v>
      </c>
      <c r="N3064" s="1469">
        <v>2.031101873452303</v>
      </c>
      <c r="O3064" s="1469"/>
    </row>
    <row r="3065" spans="11:15">
      <c r="K3065" s="1465">
        <v>45122</v>
      </c>
      <c r="L3065" s="1469"/>
      <c r="M3065" s="849">
        <v>0</v>
      </c>
      <c r="N3065" s="1469">
        <v>2.031101873452303</v>
      </c>
      <c r="O3065" s="1469"/>
    </row>
    <row r="3066" spans="11:15">
      <c r="K3066" s="1465">
        <v>45123</v>
      </c>
      <c r="L3066" s="1469"/>
      <c r="M3066" s="849">
        <v>0</v>
      </c>
      <c r="N3066" s="1469">
        <v>2.031101873452303</v>
      </c>
      <c r="O3066" s="1469"/>
    </row>
    <row r="3067" spans="11:15">
      <c r="K3067" s="1465">
        <v>45124</v>
      </c>
      <c r="L3067" s="1469" t="s">
        <v>2127</v>
      </c>
      <c r="M3067" s="849">
        <v>5.0788E-2</v>
      </c>
      <c r="N3067" s="1469">
        <v>2.0321334294717919</v>
      </c>
      <c r="O3067" s="1469"/>
    </row>
    <row r="3068" spans="11:15">
      <c r="K3068" s="1465">
        <v>45125</v>
      </c>
      <c r="L3068" s="1469" t="s">
        <v>2127</v>
      </c>
      <c r="M3068" s="849">
        <v>5.0788E-2</v>
      </c>
      <c r="N3068" s="1469">
        <v>2.0331655093979522</v>
      </c>
      <c r="O3068" s="1469"/>
    </row>
    <row r="3069" spans="11:15">
      <c r="K3069" s="1465">
        <v>45126</v>
      </c>
      <c r="L3069" s="1469" t="s">
        <v>2127</v>
      </c>
      <c r="M3069" s="849">
        <v>5.0788E-2</v>
      </c>
      <c r="N3069" s="1469">
        <v>2.0341981134968652</v>
      </c>
      <c r="O3069" s="1469"/>
    </row>
    <row r="3070" spans="11:15">
      <c r="K3070" s="1465">
        <v>45127</v>
      </c>
      <c r="L3070" s="1469" t="s">
        <v>2127</v>
      </c>
      <c r="M3070" s="849">
        <v>5.0788E-2</v>
      </c>
      <c r="N3070" s="1469">
        <v>2.0352312420347478</v>
      </c>
      <c r="O3070" s="1469"/>
    </row>
    <row r="3071" spans="11:15">
      <c r="K3071" s="1465">
        <v>45128</v>
      </c>
      <c r="L3071" s="1469" t="s">
        <v>2127</v>
      </c>
      <c r="M3071" s="849">
        <v>5.0788E-2</v>
      </c>
      <c r="N3071" s="1469">
        <v>2.0362648952779523</v>
      </c>
      <c r="O3071" s="1469"/>
    </row>
    <row r="3072" spans="11:15">
      <c r="K3072" s="1465">
        <v>45129</v>
      </c>
      <c r="L3072" s="1469"/>
      <c r="M3072" s="849">
        <v>0</v>
      </c>
      <c r="N3072" s="1469">
        <v>2.0362648952779523</v>
      </c>
      <c r="O3072" s="1469"/>
    </row>
    <row r="3073" spans="11:15">
      <c r="K3073" s="1465">
        <v>45130</v>
      </c>
      <c r="L3073" s="1469"/>
      <c r="M3073" s="849">
        <v>0</v>
      </c>
      <c r="N3073" s="1469">
        <v>2.0362648952779523</v>
      </c>
      <c r="O3073" s="1469"/>
    </row>
    <row r="3074" spans="11:15">
      <c r="K3074" s="1465">
        <v>45131</v>
      </c>
      <c r="L3074" s="1469" t="s">
        <v>2127</v>
      </c>
      <c r="M3074" s="849">
        <v>5.0788E-2</v>
      </c>
      <c r="N3074" s="1469">
        <v>2.0372990734929659</v>
      </c>
      <c r="O3074" s="1469"/>
    </row>
    <row r="3075" spans="11:15">
      <c r="K3075" s="1465">
        <v>45132</v>
      </c>
      <c r="L3075" s="1469" t="s">
        <v>2127</v>
      </c>
      <c r="M3075" s="849">
        <v>5.0788E-2</v>
      </c>
      <c r="N3075" s="1469">
        <v>2.0383337769464114</v>
      </c>
      <c r="O3075" s="1469"/>
    </row>
    <row r="3076" spans="11:15">
      <c r="K3076" s="1465">
        <v>45133</v>
      </c>
      <c r="L3076" s="1469" t="s">
        <v>2127</v>
      </c>
      <c r="M3076" s="849">
        <v>5.0788E-2</v>
      </c>
      <c r="N3076" s="1469">
        <v>2.0393690059050469</v>
      </c>
      <c r="O3076" s="1469"/>
    </row>
    <row r="3077" spans="11:15">
      <c r="K3077" s="1465">
        <v>45134</v>
      </c>
      <c r="L3077" s="1469" t="s">
        <v>2127</v>
      </c>
      <c r="M3077" s="849">
        <v>5.0788E-2</v>
      </c>
      <c r="N3077" s="1469">
        <v>2.040404760635766</v>
      </c>
      <c r="O3077" s="1469"/>
    </row>
    <row r="3078" spans="11:15">
      <c r="K3078" s="1465">
        <v>45135</v>
      </c>
      <c r="L3078" s="1469" t="s">
        <v>2127</v>
      </c>
      <c r="M3078" s="849">
        <v>5.0788E-2</v>
      </c>
      <c r="N3078" s="1469">
        <v>2.0414410414055979</v>
      </c>
      <c r="O3078" s="1469"/>
    </row>
    <row r="3079" spans="11:15">
      <c r="K3079" s="1465">
        <v>45136</v>
      </c>
      <c r="L3079" s="1469"/>
      <c r="M3079" s="849">
        <v>0</v>
      </c>
      <c r="N3079" s="1469">
        <v>2.0414410414055979</v>
      </c>
      <c r="O3079" s="1469"/>
    </row>
    <row r="3080" spans="11:15">
      <c r="K3080" s="1465">
        <v>45137</v>
      </c>
      <c r="L3080" s="1469"/>
      <c r="M3080" s="849">
        <v>0</v>
      </c>
      <c r="N3080" s="1469">
        <v>2.0414410414055979</v>
      </c>
      <c r="O3080" s="1469"/>
    </row>
    <row r="3081" spans="11:15">
      <c r="K3081" s="1465">
        <v>45138</v>
      </c>
      <c r="L3081" s="1469" t="s">
        <v>2127</v>
      </c>
      <c r="M3081" s="849">
        <v>5.0788E-2</v>
      </c>
      <c r="N3081" s="1469">
        <v>2.042477848481707</v>
      </c>
      <c r="O3081" s="1469"/>
    </row>
    <row r="3082" spans="11:15">
      <c r="K3082" s="1465">
        <v>45139</v>
      </c>
      <c r="L3082" s="1469" t="s">
        <v>2127</v>
      </c>
      <c r="M3082" s="849">
        <v>5.0788E-2</v>
      </c>
      <c r="N3082" s="1469">
        <v>2.0435151821313937</v>
      </c>
      <c r="O3082" s="1469"/>
    </row>
    <row r="3083" spans="11:15">
      <c r="K3083" s="1465">
        <v>45140</v>
      </c>
      <c r="L3083" s="1469" t="s">
        <v>2127</v>
      </c>
      <c r="M3083" s="849">
        <v>5.0788E-2</v>
      </c>
      <c r="N3083" s="1469">
        <v>2.0445530426220948</v>
      </c>
      <c r="O3083" s="1469"/>
    </row>
    <row r="3084" spans="11:15">
      <c r="K3084" s="1465">
        <v>45141</v>
      </c>
      <c r="L3084" s="1469" t="s">
        <v>2127</v>
      </c>
      <c r="M3084" s="849">
        <v>5.0788E-2</v>
      </c>
      <c r="N3084" s="1469">
        <v>2.0455914302213816</v>
      </c>
      <c r="O3084" s="1469"/>
    </row>
    <row r="3085" spans="11:15">
      <c r="K3085" s="1465">
        <v>45142</v>
      </c>
      <c r="L3085" s="1469" t="s">
        <v>2127</v>
      </c>
      <c r="M3085" s="849">
        <v>5.0788E-2</v>
      </c>
      <c r="N3085" s="1469">
        <v>2.0466303451969625</v>
      </c>
      <c r="O3085" s="1469"/>
    </row>
    <row r="3086" spans="11:15">
      <c r="K3086" s="1465">
        <v>45143</v>
      </c>
      <c r="L3086" s="1469"/>
      <c r="M3086" s="849">
        <v>0</v>
      </c>
      <c r="N3086" s="1469">
        <v>2.0466303451969625</v>
      </c>
      <c r="O3086" s="1469"/>
    </row>
    <row r="3087" spans="11:15">
      <c r="K3087" s="1465">
        <v>45144</v>
      </c>
      <c r="L3087" s="1469"/>
      <c r="M3087" s="849">
        <v>0</v>
      </c>
      <c r="N3087" s="1469">
        <v>2.0466303451969625</v>
      </c>
      <c r="O3087" s="1469"/>
    </row>
    <row r="3088" spans="11:15">
      <c r="K3088" s="1465">
        <v>45145</v>
      </c>
      <c r="L3088" s="1469" t="s">
        <v>2127</v>
      </c>
      <c r="M3088" s="849">
        <v>5.0788E-2</v>
      </c>
      <c r="N3088" s="1469">
        <v>2.0476697878166812</v>
      </c>
      <c r="O3088" s="1469"/>
    </row>
    <row r="3089" spans="11:15">
      <c r="K3089" s="1465">
        <v>45146</v>
      </c>
      <c r="L3089" s="1469" t="s">
        <v>2127</v>
      </c>
      <c r="M3089" s="849">
        <v>5.0788E-2</v>
      </c>
      <c r="N3089" s="1469">
        <v>2.0487097583485174</v>
      </c>
      <c r="O3089" s="1469"/>
    </row>
    <row r="3090" spans="11:15">
      <c r="K3090" s="1465">
        <v>45147</v>
      </c>
      <c r="L3090" s="1469" t="s">
        <v>2127</v>
      </c>
      <c r="M3090" s="849">
        <v>5.0788E-2</v>
      </c>
      <c r="N3090" s="1469">
        <v>2.0497502570605874</v>
      </c>
      <c r="O3090" s="1469"/>
    </row>
    <row r="3091" spans="11:15">
      <c r="K3091" s="1465">
        <v>45148</v>
      </c>
      <c r="L3091" s="1469" t="s">
        <v>2127</v>
      </c>
      <c r="M3091" s="849">
        <v>5.0788E-2</v>
      </c>
      <c r="N3091" s="1469">
        <v>2.0507912842211433</v>
      </c>
      <c r="O3091" s="1469"/>
    </row>
    <row r="3092" spans="11:15">
      <c r="K3092" s="1465">
        <v>45149</v>
      </c>
      <c r="L3092" s="1469" t="s">
        <v>2127</v>
      </c>
      <c r="M3092" s="849">
        <v>5.0788E-2</v>
      </c>
      <c r="N3092" s="1469">
        <v>2.0518328400985735</v>
      </c>
      <c r="O3092" s="1469"/>
    </row>
    <row r="3093" spans="11:15">
      <c r="K3093" s="1465">
        <v>45150</v>
      </c>
      <c r="L3093" s="1469"/>
      <c r="M3093" s="849">
        <v>0</v>
      </c>
      <c r="N3093" s="1469">
        <v>2.0518328400985735</v>
      </c>
      <c r="O3093" s="1469"/>
    </row>
    <row r="3094" spans="11:15">
      <c r="K3094" s="1465">
        <v>45151</v>
      </c>
      <c r="L3094" s="1469"/>
      <c r="M3094" s="849">
        <v>0</v>
      </c>
      <c r="N3094" s="1469">
        <v>2.0518328400985735</v>
      </c>
      <c r="O3094" s="1469"/>
    </row>
    <row r="3095" spans="11:15">
      <c r="K3095" s="1465">
        <v>45152</v>
      </c>
      <c r="L3095" s="1469" t="s">
        <v>2127</v>
      </c>
      <c r="M3095" s="849">
        <v>5.0788E-2</v>
      </c>
      <c r="N3095" s="1469">
        <v>2.0528749249614027</v>
      </c>
      <c r="O3095" s="1469"/>
    </row>
    <row r="3096" spans="11:15">
      <c r="K3096" s="1465">
        <v>45153</v>
      </c>
      <c r="L3096" s="1469" t="s">
        <v>2127</v>
      </c>
      <c r="M3096" s="849">
        <v>5.0788E-2</v>
      </c>
      <c r="N3096" s="1469">
        <v>2.053917539078292</v>
      </c>
      <c r="O3096" s="1469"/>
    </row>
    <row r="3097" spans="11:15">
      <c r="K3097" s="1465">
        <v>45154</v>
      </c>
      <c r="L3097" s="1469" t="s">
        <v>2127</v>
      </c>
      <c r="M3097" s="849">
        <v>5.0788E-2</v>
      </c>
      <c r="N3097" s="1469">
        <v>2.0549606827180393</v>
      </c>
      <c r="O3097" s="1469"/>
    </row>
    <row r="3098" spans="11:15">
      <c r="K3098" s="1465">
        <v>45155</v>
      </c>
      <c r="L3098" s="1469" t="s">
        <v>2127</v>
      </c>
      <c r="M3098" s="849">
        <v>5.0788E-2</v>
      </c>
      <c r="N3098" s="1469">
        <v>2.056004356149578</v>
      </c>
      <c r="O3098" s="1469"/>
    </row>
    <row r="3099" spans="11:15">
      <c r="K3099" s="1465">
        <v>45156</v>
      </c>
      <c r="L3099" s="1469" t="s">
        <v>2127</v>
      </c>
      <c r="M3099" s="849">
        <v>5.0788E-2</v>
      </c>
      <c r="N3099" s="1469">
        <v>2.0570485596419794</v>
      </c>
      <c r="O3099" s="1469"/>
    </row>
    <row r="3100" spans="11:15">
      <c r="K3100" s="1465">
        <v>45157</v>
      </c>
      <c r="L3100" s="1469"/>
      <c r="M3100" s="849">
        <v>0</v>
      </c>
      <c r="N3100" s="1469">
        <v>2.0570485596419794</v>
      </c>
      <c r="O3100" s="1469"/>
    </row>
    <row r="3101" spans="11:15">
      <c r="K3101" s="1465">
        <v>45158</v>
      </c>
      <c r="L3101" s="1469"/>
      <c r="M3101" s="849">
        <v>0</v>
      </c>
      <c r="N3101" s="1469">
        <v>2.0570485596419794</v>
      </c>
      <c r="O3101" s="1469"/>
    </row>
    <row r="3102" spans="11:15">
      <c r="K3102" s="1465">
        <v>45159</v>
      </c>
      <c r="L3102" s="1469" t="s">
        <v>2127</v>
      </c>
      <c r="M3102" s="849">
        <v>5.0788E-2</v>
      </c>
      <c r="N3102" s="1469">
        <v>2.0580932934644505</v>
      </c>
      <c r="O3102" s="1469"/>
    </row>
    <row r="3103" spans="11:15">
      <c r="K3103" s="1465">
        <v>45160</v>
      </c>
      <c r="L3103" s="1469" t="s">
        <v>2127</v>
      </c>
      <c r="M3103" s="849">
        <v>5.0788E-2</v>
      </c>
      <c r="N3103" s="1469">
        <v>2.0591385578863353</v>
      </c>
      <c r="O3103" s="1469"/>
    </row>
    <row r="3104" spans="11:15">
      <c r="K3104" s="1465">
        <v>45161</v>
      </c>
      <c r="L3104" s="1469" t="s">
        <v>2127</v>
      </c>
      <c r="M3104" s="849">
        <v>5.0788E-2</v>
      </c>
      <c r="N3104" s="1469">
        <v>2.0601843531771147</v>
      </c>
      <c r="O3104" s="1469"/>
    </row>
    <row r="3105" spans="11:15">
      <c r="K3105" s="1465">
        <v>45162</v>
      </c>
      <c r="L3105" s="1469" t="s">
        <v>2127</v>
      </c>
      <c r="M3105" s="849">
        <v>5.0788E-2</v>
      </c>
      <c r="N3105" s="1469">
        <v>2.0612306796064064</v>
      </c>
      <c r="O3105" s="1469"/>
    </row>
    <row r="3106" spans="11:15">
      <c r="K3106" s="1465">
        <v>45163</v>
      </c>
      <c r="L3106" s="1469" t="s">
        <v>2127</v>
      </c>
      <c r="M3106" s="849">
        <v>5.0788E-2</v>
      </c>
      <c r="N3106" s="1469">
        <v>2.0622775374439648</v>
      </c>
      <c r="O3106" s="1469"/>
    </row>
    <row r="3107" spans="11:15">
      <c r="K3107" s="1465">
        <v>45164</v>
      </c>
      <c r="L3107" s="1469"/>
      <c r="M3107" s="849">
        <v>0</v>
      </c>
      <c r="N3107" s="1469">
        <v>2.0622775374439648</v>
      </c>
      <c r="O3107" s="1469"/>
    </row>
    <row r="3108" spans="11:15">
      <c r="K3108" s="1465">
        <v>45165</v>
      </c>
      <c r="L3108" s="1469"/>
      <c r="M3108" s="849">
        <v>0</v>
      </c>
      <c r="N3108" s="1469">
        <v>2.0622775374439648</v>
      </c>
      <c r="O3108" s="1469"/>
    </row>
    <row r="3109" spans="11:15">
      <c r="K3109" s="1465">
        <v>45166</v>
      </c>
      <c r="L3109" s="1469" t="s">
        <v>2127</v>
      </c>
      <c r="M3109" s="849">
        <v>5.0788E-2</v>
      </c>
      <c r="N3109" s="1469">
        <v>2.0633249269596821</v>
      </c>
      <c r="O3109" s="1469"/>
    </row>
    <row r="3110" spans="11:15">
      <c r="K3110" s="1465">
        <v>45167</v>
      </c>
      <c r="L3110" s="1469" t="s">
        <v>2127</v>
      </c>
      <c r="M3110" s="849">
        <v>5.0788E-2</v>
      </c>
      <c r="N3110" s="1469">
        <v>2.0643728484235866</v>
      </c>
      <c r="O3110" s="1469"/>
    </row>
    <row r="3111" spans="11:15">
      <c r="K3111" s="1465">
        <v>45168</v>
      </c>
      <c r="L3111" s="1469" t="s">
        <v>2127</v>
      </c>
      <c r="M3111" s="849">
        <v>5.0788E-2</v>
      </c>
      <c r="N3111" s="1469">
        <v>2.0654213021058441</v>
      </c>
      <c r="O3111" s="1469"/>
    </row>
    <row r="3112" spans="11:15">
      <c r="K3112" s="1465">
        <v>45169</v>
      </c>
      <c r="L3112" s="1469" t="s">
        <v>2127</v>
      </c>
      <c r="M3112" s="849">
        <v>5.0788E-2</v>
      </c>
      <c r="N3112" s="1469">
        <v>2.0664702882767578</v>
      </c>
      <c r="O3112" s="1469"/>
    </row>
    <row r="3113" spans="11:15">
      <c r="K3113" s="1465">
        <v>45170</v>
      </c>
      <c r="L3113" s="1469" t="s">
        <v>2127</v>
      </c>
      <c r="M3113" s="849">
        <v>5.0788E-2</v>
      </c>
      <c r="N3113" s="1469">
        <v>2.067519807206768</v>
      </c>
      <c r="O3113" s="1469"/>
    </row>
    <row r="3114" spans="11:15">
      <c r="K3114" s="1465">
        <v>45171</v>
      </c>
      <c r="L3114" s="1469"/>
      <c r="M3114" s="849">
        <v>0</v>
      </c>
      <c r="N3114" s="1469">
        <v>2.067519807206768</v>
      </c>
      <c r="O3114" s="1469"/>
    </row>
    <row r="3115" spans="11:15">
      <c r="K3115" s="1465">
        <v>45172</v>
      </c>
      <c r="L3115" s="1469"/>
      <c r="M3115" s="849">
        <v>0</v>
      </c>
      <c r="N3115" s="1469">
        <v>2.067519807206768</v>
      </c>
      <c r="O3115" s="1469"/>
    </row>
    <row r="3116" spans="11:15">
      <c r="K3116" s="1465">
        <v>45173</v>
      </c>
      <c r="L3116" s="1469" t="s">
        <v>2127</v>
      </c>
      <c r="M3116" s="849">
        <v>5.0788E-2</v>
      </c>
      <c r="N3116" s="1469">
        <v>2.0685698591664523</v>
      </c>
      <c r="O3116" s="1469"/>
    </row>
    <row r="3117" spans="11:15">
      <c r="K3117" s="1465">
        <v>45174</v>
      </c>
      <c r="L3117" s="1469" t="s">
        <v>2127</v>
      </c>
      <c r="M3117" s="849">
        <v>5.0788E-2</v>
      </c>
      <c r="N3117" s="1469">
        <v>2.0696204444265258</v>
      </c>
      <c r="O3117" s="1469"/>
    </row>
    <row r="3118" spans="11:15">
      <c r="K3118" s="1465">
        <v>45175</v>
      </c>
      <c r="L3118" s="1469" t="s">
        <v>2127</v>
      </c>
      <c r="M3118" s="849">
        <v>5.0788E-2</v>
      </c>
      <c r="N3118" s="1469">
        <v>2.0706715632578412</v>
      </c>
      <c r="O3118" s="1469"/>
    </row>
    <row r="3119" spans="11:15">
      <c r="K3119" s="1465">
        <v>45176</v>
      </c>
      <c r="L3119" s="1469"/>
      <c r="M3119" s="849">
        <v>0</v>
      </c>
      <c r="N3119" s="1469">
        <v>2.0706715632578412</v>
      </c>
      <c r="O3119" s="1469"/>
    </row>
    <row r="3120" spans="11:15">
      <c r="K3120" s="1465">
        <v>45177</v>
      </c>
      <c r="L3120" s="1469" t="s">
        <v>2127</v>
      </c>
      <c r="M3120" s="849">
        <v>5.0788E-2</v>
      </c>
      <c r="N3120" s="1469">
        <v>2.0717232159313888</v>
      </c>
      <c r="O3120" s="1469"/>
    </row>
    <row r="3121" spans="11:15">
      <c r="K3121" s="1465">
        <v>45178</v>
      </c>
      <c r="L3121" s="1469"/>
      <c r="M3121" s="849">
        <v>0</v>
      </c>
      <c r="N3121" s="1469">
        <v>2.0717232159313888</v>
      </c>
      <c r="O3121" s="1469"/>
    </row>
    <row r="3122" spans="11:15">
      <c r="K3122" s="1465">
        <v>45179</v>
      </c>
      <c r="L3122" s="1469"/>
      <c r="M3122" s="849">
        <v>0</v>
      </c>
      <c r="N3122" s="1469">
        <v>2.0717232159313888</v>
      </c>
      <c r="O3122" s="1469"/>
    </row>
    <row r="3123" spans="11:15">
      <c r="K3123" s="1465">
        <v>45180</v>
      </c>
      <c r="L3123" s="1469" t="s">
        <v>2127</v>
      </c>
      <c r="M3123" s="849">
        <v>5.0788E-2</v>
      </c>
      <c r="N3123" s="1469">
        <v>2.0727754027182961</v>
      </c>
      <c r="O3123" s="1469"/>
    </row>
    <row r="3124" spans="11:15">
      <c r="K3124" s="1465">
        <v>45181</v>
      </c>
      <c r="L3124" s="1469" t="s">
        <v>2127</v>
      </c>
      <c r="M3124" s="849">
        <v>5.0788E-2</v>
      </c>
      <c r="N3124" s="1469">
        <v>2.0738281238898288</v>
      </c>
      <c r="O3124" s="1469"/>
    </row>
    <row r="3125" spans="11:15">
      <c r="K3125" s="1465">
        <v>45182</v>
      </c>
      <c r="L3125" s="1469" t="s">
        <v>2127</v>
      </c>
      <c r="M3125" s="849">
        <v>5.0788E-2</v>
      </c>
      <c r="N3125" s="1469">
        <v>2.07488137971739</v>
      </c>
      <c r="O3125" s="1469"/>
    </row>
    <row r="3126" spans="11:15">
      <c r="K3126" s="1465">
        <v>45183</v>
      </c>
      <c r="L3126" s="1469" t="s">
        <v>2127</v>
      </c>
      <c r="M3126" s="849">
        <v>5.0788E-2</v>
      </c>
      <c r="N3126" s="1469">
        <v>2.0759351704725209</v>
      </c>
      <c r="O3126" s="1469"/>
    </row>
    <row r="3127" spans="11:15">
      <c r="K3127" s="1465">
        <v>45184</v>
      </c>
      <c r="L3127" s="1469" t="s">
        <v>2127</v>
      </c>
      <c r="M3127" s="849">
        <v>5.0788E-2</v>
      </c>
      <c r="N3127" s="1469">
        <v>2.0769894964269007</v>
      </c>
      <c r="O3127" s="1469"/>
    </row>
    <row r="3128" spans="11:15">
      <c r="K3128" s="1465">
        <v>45185</v>
      </c>
      <c r="L3128" s="1469"/>
      <c r="M3128" s="849">
        <v>0</v>
      </c>
      <c r="N3128" s="1469">
        <v>2.0769894964269007</v>
      </c>
      <c r="O3128" s="1469"/>
    </row>
    <row r="3129" spans="11:15">
      <c r="K3129" s="1465">
        <v>45186</v>
      </c>
      <c r="L3129" s="1469"/>
      <c r="M3129" s="849">
        <v>0</v>
      </c>
      <c r="N3129" s="1469">
        <v>2.0769894964269007</v>
      </c>
      <c r="O3129" s="1469"/>
    </row>
    <row r="3130" spans="11:15">
      <c r="K3130" s="1465">
        <v>45187</v>
      </c>
      <c r="L3130" s="1469" t="s">
        <v>2127</v>
      </c>
      <c r="M3130" s="849">
        <v>5.0788E-2</v>
      </c>
      <c r="N3130" s="1469">
        <v>2.0780443578523462</v>
      </c>
      <c r="O3130" s="1469"/>
    </row>
    <row r="3131" spans="11:15">
      <c r="K3131" s="1465">
        <v>45188</v>
      </c>
      <c r="L3131" s="1469" t="s">
        <v>2127</v>
      </c>
      <c r="M3131" s="849">
        <v>5.0788E-2</v>
      </c>
      <c r="N3131" s="1469">
        <v>2.0790997550208123</v>
      </c>
      <c r="O3131" s="1469"/>
    </row>
    <row r="3132" spans="11:15">
      <c r="K3132" s="1465">
        <v>45189</v>
      </c>
      <c r="L3132" s="1469" t="s">
        <v>2127</v>
      </c>
      <c r="M3132" s="849">
        <v>5.0788E-2</v>
      </c>
      <c r="N3132" s="1469">
        <v>2.0801556882043926</v>
      </c>
      <c r="O3132" s="1469"/>
    </row>
    <row r="3133" spans="11:15">
      <c r="K3133" s="1465">
        <v>45190</v>
      </c>
      <c r="L3133" s="1469" t="s">
        <v>2127</v>
      </c>
      <c r="M3133" s="849">
        <v>5.0788E-2</v>
      </c>
      <c r="N3133" s="1469">
        <v>2.081212157675318</v>
      </c>
      <c r="O3133" s="1469"/>
    </row>
    <row r="3134" spans="11:15">
      <c r="K3134" s="1465">
        <v>45191</v>
      </c>
      <c r="L3134" s="1469" t="s">
        <v>2127</v>
      </c>
      <c r="M3134" s="849">
        <v>5.0788E-2</v>
      </c>
      <c r="N3134" s="1469">
        <v>2.0822691637059583</v>
      </c>
      <c r="O3134" s="1469"/>
    </row>
    <row r="3135" spans="11:15">
      <c r="K3135" s="1465">
        <v>45192</v>
      </c>
      <c r="L3135" s="1469"/>
      <c r="M3135" s="849">
        <v>0</v>
      </c>
      <c r="N3135" s="1469">
        <v>2.0822691637059583</v>
      </c>
      <c r="O3135" s="1469"/>
    </row>
    <row r="3136" spans="11:15">
      <c r="K3136" s="1465">
        <v>45193</v>
      </c>
      <c r="L3136" s="1469"/>
      <c r="M3136" s="849">
        <v>0</v>
      </c>
      <c r="N3136" s="1469">
        <v>2.0822691637059583</v>
      </c>
      <c r="O3136" s="1469"/>
    </row>
    <row r="3137" spans="11:15">
      <c r="K3137" s="1465">
        <v>45194</v>
      </c>
      <c r="L3137" s="1469" t="s">
        <v>2127</v>
      </c>
      <c r="M3137" s="849">
        <v>5.0788E-2</v>
      </c>
      <c r="N3137" s="1469">
        <v>2.0833267065688212</v>
      </c>
      <c r="O3137" s="1469"/>
    </row>
    <row r="3138" spans="11:15">
      <c r="K3138" s="1465">
        <v>45195</v>
      </c>
      <c r="L3138" s="1469" t="s">
        <v>2127</v>
      </c>
      <c r="M3138" s="849">
        <v>5.0788E-2</v>
      </c>
      <c r="N3138" s="1469">
        <v>2.0843847865365532</v>
      </c>
      <c r="O3138" s="1469"/>
    </row>
    <row r="3139" spans="11:15">
      <c r="K3139" s="1465">
        <v>45196</v>
      </c>
      <c r="L3139" s="1469" t="s">
        <v>2127</v>
      </c>
      <c r="M3139" s="849">
        <v>5.0788E-2</v>
      </c>
      <c r="N3139" s="1469">
        <v>2.0854434038819396</v>
      </c>
      <c r="O3139" s="1469"/>
    </row>
    <row r="3140" spans="11:15">
      <c r="K3140" s="1465">
        <v>45197</v>
      </c>
      <c r="L3140" s="1469" t="s">
        <v>2127</v>
      </c>
      <c r="M3140" s="849">
        <v>5.0788E-2</v>
      </c>
      <c r="N3140" s="1469">
        <v>2.0865025588779034</v>
      </c>
      <c r="O3140" s="1469"/>
    </row>
    <row r="3141" spans="11:15">
      <c r="K3141" s="1465">
        <v>45198</v>
      </c>
      <c r="L3141" s="1469" t="s">
        <v>2127</v>
      </c>
      <c r="M3141" s="849">
        <v>5.0788E-2</v>
      </c>
      <c r="N3141" s="1469">
        <v>2.0875622517975061</v>
      </c>
      <c r="O3141" s="1469"/>
    </row>
    <row r="3142" spans="11:15">
      <c r="K3142" s="1465">
        <v>45199</v>
      </c>
      <c r="L3142" s="1469"/>
      <c r="M3142" s="849">
        <v>0</v>
      </c>
      <c r="N3142" s="1469">
        <v>2.0875622517975061</v>
      </c>
      <c r="O3142" s="1469"/>
    </row>
    <row r="3143" spans="11:15">
      <c r="K3143" s="1465">
        <v>45200</v>
      </c>
      <c r="L3143" s="1469"/>
      <c r="M3143" s="849">
        <v>0</v>
      </c>
      <c r="N3143" s="1469">
        <v>2.0875622517975061</v>
      </c>
      <c r="O3143" s="1469"/>
    </row>
    <row r="3144" spans="11:15">
      <c r="K3144" s="1465">
        <v>45201</v>
      </c>
      <c r="L3144" s="1469" t="s">
        <v>2127</v>
      </c>
      <c r="M3144" s="849">
        <v>5.0788E-2</v>
      </c>
      <c r="N3144" s="1469">
        <v>2.0886224829139493</v>
      </c>
      <c r="O3144" s="1469"/>
    </row>
    <row r="3145" spans="11:15">
      <c r="K3145" s="1465">
        <v>45202</v>
      </c>
      <c r="L3145" s="1469" t="s">
        <v>2127</v>
      </c>
      <c r="M3145" s="849">
        <v>5.0788E-2</v>
      </c>
      <c r="N3145" s="1469">
        <v>2.0896832525005715</v>
      </c>
      <c r="O3145" s="1469"/>
    </row>
    <row r="3146" spans="11:15">
      <c r="K3146" s="1465">
        <v>45203</v>
      </c>
      <c r="L3146" s="1469" t="s">
        <v>2127</v>
      </c>
      <c r="M3146" s="849">
        <v>5.0788E-2</v>
      </c>
      <c r="N3146" s="1469">
        <v>2.0907445608308515</v>
      </c>
      <c r="O3146" s="1469"/>
    </row>
    <row r="3147" spans="11:15">
      <c r="K3147" s="1465">
        <v>45204</v>
      </c>
      <c r="L3147" s="1469" t="s">
        <v>2127</v>
      </c>
      <c r="M3147" s="849">
        <v>5.0788E-2</v>
      </c>
      <c r="N3147" s="1469">
        <v>2.0918064081784062</v>
      </c>
      <c r="O3147" s="1469"/>
    </row>
    <row r="3148" spans="11:15">
      <c r="K3148" s="1465">
        <v>45205</v>
      </c>
      <c r="L3148" s="1469" t="s">
        <v>2127</v>
      </c>
      <c r="M3148" s="849">
        <v>5.0788E-2</v>
      </c>
      <c r="N3148" s="1469">
        <v>2.092868794816992</v>
      </c>
      <c r="O3148" s="1469"/>
    </row>
    <row r="3149" spans="11:15">
      <c r="K3149" s="1465">
        <v>45206</v>
      </c>
      <c r="L3149" s="1469"/>
      <c r="M3149" s="849">
        <v>0</v>
      </c>
      <c r="N3149" s="1469">
        <v>2.092868794816992</v>
      </c>
      <c r="O3149" s="1469"/>
    </row>
    <row r="3150" spans="11:15">
      <c r="K3150" s="1465">
        <v>45207</v>
      </c>
      <c r="L3150" s="1469"/>
      <c r="M3150" s="849">
        <v>0</v>
      </c>
      <c r="N3150" s="1469">
        <v>2.092868794816992</v>
      </c>
      <c r="O3150" s="1469"/>
    </row>
    <row r="3151" spans="11:15">
      <c r="K3151" s="1465">
        <v>45208</v>
      </c>
      <c r="L3151" s="1469" t="s">
        <v>2127</v>
      </c>
      <c r="M3151" s="849">
        <v>5.0788E-2</v>
      </c>
      <c r="N3151" s="1469">
        <v>2.0939317210205037</v>
      </c>
      <c r="O3151" s="1469"/>
    </row>
    <row r="3152" spans="11:15">
      <c r="K3152" s="1465">
        <v>45209</v>
      </c>
      <c r="L3152" s="1469" t="s">
        <v>2127</v>
      </c>
      <c r="M3152" s="849">
        <v>5.0788E-2</v>
      </c>
      <c r="N3152" s="1469">
        <v>2.0949951870629757</v>
      </c>
      <c r="O3152" s="1469"/>
    </row>
    <row r="3153" spans="11:15">
      <c r="K3153" s="1465">
        <v>45210</v>
      </c>
      <c r="L3153" s="1469" t="s">
        <v>2127</v>
      </c>
      <c r="M3153" s="849">
        <v>5.0788E-2</v>
      </c>
      <c r="N3153" s="1469">
        <v>2.0960591932185815</v>
      </c>
      <c r="O3153" s="1469"/>
    </row>
    <row r="3154" spans="11:15">
      <c r="K3154" s="1465">
        <v>45211</v>
      </c>
      <c r="L3154" s="1469"/>
      <c r="M3154" s="849">
        <v>0</v>
      </c>
      <c r="N3154" s="1469">
        <v>2.0960591932185815</v>
      </c>
      <c r="O3154" s="1469"/>
    </row>
    <row r="3155" spans="11:15">
      <c r="K3155" s="1465">
        <v>45212</v>
      </c>
      <c r="L3155" s="1469" t="s">
        <v>2127</v>
      </c>
      <c r="M3155" s="849">
        <v>5.0788E-2</v>
      </c>
      <c r="N3155" s="1469">
        <v>2.0971237397616336</v>
      </c>
      <c r="O3155" s="1469"/>
    </row>
    <row r="3156" spans="11:15">
      <c r="K3156" s="1465">
        <v>45213</v>
      </c>
      <c r="L3156" s="1469"/>
      <c r="M3156" s="849">
        <v>0</v>
      </c>
      <c r="N3156" s="1469">
        <v>2.0971237397616336</v>
      </c>
      <c r="O3156" s="1469"/>
    </row>
    <row r="3157" spans="11:15">
      <c r="K3157" s="1465">
        <v>45214</v>
      </c>
      <c r="L3157" s="1469"/>
      <c r="M3157" s="849">
        <v>0</v>
      </c>
      <c r="N3157" s="1469">
        <v>2.0971237397616336</v>
      </c>
      <c r="O3157" s="1469"/>
    </row>
    <row r="3158" spans="11:15">
      <c r="K3158" s="1465">
        <v>45215</v>
      </c>
      <c r="L3158" s="1469" t="s">
        <v>2127</v>
      </c>
      <c r="M3158" s="849">
        <v>5.0788E-2</v>
      </c>
      <c r="N3158" s="1469">
        <v>2.0981888269665836</v>
      </c>
      <c r="O3158" s="1469"/>
    </row>
    <row r="3159" spans="11:15">
      <c r="K3159" s="1465">
        <v>45216</v>
      </c>
      <c r="L3159" s="1469" t="s">
        <v>2127</v>
      </c>
      <c r="M3159" s="849">
        <v>5.0788E-2</v>
      </c>
      <c r="N3159" s="1469">
        <v>2.0992544551080234</v>
      </c>
      <c r="O3159" s="1469"/>
    </row>
    <row r="3160" spans="11:15">
      <c r="K3160" s="1465">
        <v>45217</v>
      </c>
      <c r="L3160" s="1469" t="s">
        <v>2127</v>
      </c>
      <c r="M3160" s="849">
        <v>5.0788E-2</v>
      </c>
      <c r="N3160" s="1469">
        <v>2.1003206244606836</v>
      </c>
      <c r="O3160" s="1469"/>
    </row>
    <row r="3161" spans="11:15">
      <c r="K3161" s="1465">
        <v>45218</v>
      </c>
      <c r="L3161" s="1469" t="s">
        <v>2127</v>
      </c>
      <c r="M3161" s="849">
        <v>5.0788E-2</v>
      </c>
      <c r="N3161" s="1469">
        <v>2.1013873352994348</v>
      </c>
      <c r="O3161" s="1469"/>
    </row>
    <row r="3162" spans="11:15">
      <c r="K3162" s="1465">
        <v>45219</v>
      </c>
      <c r="L3162" s="1469" t="s">
        <v>2127</v>
      </c>
      <c r="M3162" s="849">
        <v>5.0788E-2</v>
      </c>
      <c r="N3162" s="1469">
        <v>2.1024545878992869</v>
      </c>
      <c r="O3162" s="1469"/>
    </row>
    <row r="3163" spans="11:15">
      <c r="K3163" s="1465">
        <v>45220</v>
      </c>
      <c r="L3163" s="1469"/>
      <c r="M3163" s="849">
        <v>0</v>
      </c>
      <c r="N3163" s="1469">
        <v>2.1024545878992869</v>
      </c>
      <c r="O3163" s="1469"/>
    </row>
    <row r="3164" spans="11:15">
      <c r="K3164" s="1465">
        <v>45221</v>
      </c>
      <c r="L3164" s="1469"/>
      <c r="M3164" s="849">
        <v>0</v>
      </c>
      <c r="N3164" s="1469">
        <v>2.1024545878992869</v>
      </c>
      <c r="O3164" s="1469"/>
    </row>
    <row r="3165" spans="11:15">
      <c r="K3165" s="1465">
        <v>45222</v>
      </c>
      <c r="L3165" s="1469" t="s">
        <v>2127</v>
      </c>
      <c r="M3165" s="849">
        <v>5.0788E-2</v>
      </c>
      <c r="N3165" s="1469">
        <v>2.103522382535389</v>
      </c>
      <c r="O3165" s="1469"/>
    </row>
    <row r="3166" spans="11:15">
      <c r="K3166" s="1465">
        <v>45223</v>
      </c>
      <c r="L3166" s="1469" t="s">
        <v>2127</v>
      </c>
      <c r="M3166" s="849">
        <v>5.0788E-2</v>
      </c>
      <c r="N3166" s="1469">
        <v>2.1045907194830313</v>
      </c>
      <c r="O3166" s="1469"/>
    </row>
    <row r="3167" spans="11:15">
      <c r="K3167" s="1465">
        <v>45224</v>
      </c>
      <c r="L3167" s="1469" t="s">
        <v>2127</v>
      </c>
      <c r="M3167" s="849">
        <v>5.0788E-2</v>
      </c>
      <c r="N3167" s="1469">
        <v>2.1056595990176423</v>
      </c>
      <c r="O3167" s="1469"/>
    </row>
    <row r="3168" spans="11:15">
      <c r="K3168" s="1465">
        <v>45225</v>
      </c>
      <c r="L3168" s="1469" t="s">
        <v>2127</v>
      </c>
      <c r="M3168" s="849">
        <v>5.0788E-2</v>
      </c>
      <c r="N3168" s="1469">
        <v>2.1067290214147913</v>
      </c>
      <c r="O3168" s="1469"/>
    </row>
    <row r="3169" spans="11:15">
      <c r="K3169" s="1465">
        <v>45226</v>
      </c>
      <c r="L3169" s="1469" t="s">
        <v>2127</v>
      </c>
      <c r="M3169" s="849">
        <v>5.0788E-2</v>
      </c>
      <c r="N3169" s="1469">
        <v>2.1077989869501876</v>
      </c>
      <c r="O3169" s="1469"/>
    </row>
    <row r="3170" spans="11:15">
      <c r="K3170" s="1465">
        <v>45227</v>
      </c>
      <c r="L3170" s="1469"/>
      <c r="M3170" s="849">
        <v>0</v>
      </c>
      <c r="N3170" s="1469">
        <v>2.1077989869501876</v>
      </c>
      <c r="O3170" s="1469"/>
    </row>
    <row r="3171" spans="11:15">
      <c r="K3171" s="1465">
        <v>45228</v>
      </c>
      <c r="L3171" s="1469"/>
      <c r="M3171" s="849">
        <v>0</v>
      </c>
      <c r="N3171" s="1469">
        <v>2.1077989869501876</v>
      </c>
      <c r="O3171" s="1469"/>
    </row>
    <row r="3172" spans="11:15">
      <c r="K3172" s="1465">
        <v>45229</v>
      </c>
      <c r="L3172" s="1469" t="s">
        <v>2127</v>
      </c>
      <c r="M3172" s="849">
        <v>5.0788E-2</v>
      </c>
      <c r="N3172" s="1469">
        <v>2.1088694958996799</v>
      </c>
      <c r="O3172" s="1469"/>
    </row>
    <row r="3173" spans="11:15">
      <c r="K3173" s="1465">
        <v>45230</v>
      </c>
      <c r="L3173" s="1469" t="s">
        <v>2127</v>
      </c>
      <c r="M3173" s="849">
        <v>5.0788E-2</v>
      </c>
      <c r="N3173" s="1469">
        <v>2.1099405485392575</v>
      </c>
      <c r="O3173" s="1469"/>
    </row>
    <row r="3174" spans="11:15">
      <c r="K3174" s="1465">
        <v>45231</v>
      </c>
      <c r="L3174" s="1469" t="s">
        <v>2127</v>
      </c>
      <c r="M3174" s="849">
        <v>5.0788E-2</v>
      </c>
      <c r="N3174" s="1469">
        <v>2.1110121451450499</v>
      </c>
      <c r="O3174" s="1469"/>
    </row>
    <row r="3175" spans="11:15">
      <c r="K3175" s="1465">
        <v>45232</v>
      </c>
      <c r="L3175" s="1469"/>
      <c r="M3175" s="849">
        <v>0</v>
      </c>
      <c r="N3175" s="1469">
        <v>2.1110121451450499</v>
      </c>
      <c r="O3175" s="1469"/>
    </row>
    <row r="3176" spans="11:15">
      <c r="K3176" s="1465">
        <v>45233</v>
      </c>
      <c r="L3176" s="1469" t="s">
        <v>2127</v>
      </c>
      <c r="M3176" s="849">
        <v>5.0788E-2</v>
      </c>
      <c r="N3176" s="1469">
        <v>2.1120842859933262</v>
      </c>
      <c r="O3176" s="1469"/>
    </row>
    <row r="3177" spans="11:15">
      <c r="K3177" s="1465">
        <v>45234</v>
      </c>
      <c r="L3177" s="1469"/>
      <c r="M3177" s="849">
        <v>0</v>
      </c>
      <c r="N3177" s="1469">
        <v>2.1120842859933262</v>
      </c>
      <c r="O3177" s="1469"/>
    </row>
    <row r="3178" spans="11:15">
      <c r="K3178" s="1465">
        <v>45235</v>
      </c>
      <c r="L3178" s="1469"/>
      <c r="M3178" s="849">
        <v>0</v>
      </c>
      <c r="N3178" s="1469">
        <v>2.1120842859933262</v>
      </c>
      <c r="O3178" s="1469"/>
    </row>
    <row r="3179" spans="11:15">
      <c r="K3179" s="1465">
        <v>45236</v>
      </c>
      <c r="L3179" s="1469" t="s">
        <v>2127</v>
      </c>
      <c r="M3179" s="849">
        <v>5.0788E-2</v>
      </c>
      <c r="N3179" s="1469">
        <v>2.1131569713604965</v>
      </c>
      <c r="O3179" s="1469"/>
    </row>
    <row r="3180" spans="11:15">
      <c r="K3180" s="1465">
        <v>45237</v>
      </c>
      <c r="L3180" s="1469" t="s">
        <v>2127</v>
      </c>
      <c r="M3180" s="849">
        <v>5.0788E-2</v>
      </c>
      <c r="N3180" s="1469">
        <v>2.1142302015231111</v>
      </c>
      <c r="O3180" s="1469"/>
    </row>
    <row r="3181" spans="11:15">
      <c r="K3181" s="1465">
        <v>45238</v>
      </c>
      <c r="L3181" s="1469" t="s">
        <v>2127</v>
      </c>
      <c r="M3181" s="849">
        <v>5.0788E-2</v>
      </c>
      <c r="N3181" s="1469">
        <v>2.1153039767578607</v>
      </c>
      <c r="O3181" s="1469"/>
    </row>
    <row r="3182" spans="11:15">
      <c r="K3182" s="1465">
        <v>45239</v>
      </c>
      <c r="L3182" s="1469" t="s">
        <v>2127</v>
      </c>
      <c r="M3182" s="849">
        <v>5.0788E-2</v>
      </c>
      <c r="N3182" s="1469">
        <v>2.1163782973415768</v>
      </c>
      <c r="O3182" s="1469"/>
    </row>
    <row r="3183" spans="11:15">
      <c r="K3183" s="1465">
        <v>45240</v>
      </c>
      <c r="L3183" s="1469" t="s">
        <v>2127</v>
      </c>
      <c r="M3183" s="849">
        <v>5.0788E-2</v>
      </c>
      <c r="N3183" s="1469">
        <v>2.1174531635512306</v>
      </c>
      <c r="O3183" s="1469"/>
    </row>
    <row r="3184" spans="11:15">
      <c r="K3184" s="1465">
        <v>45241</v>
      </c>
      <c r="L3184" s="1469"/>
      <c r="M3184" s="849">
        <v>0</v>
      </c>
      <c r="N3184" s="1469">
        <v>2.1174531635512306</v>
      </c>
      <c r="O3184" s="1469"/>
    </row>
    <row r="3185" spans="11:15">
      <c r="K3185" s="1465">
        <v>45242</v>
      </c>
      <c r="L3185" s="1469"/>
      <c r="M3185" s="849">
        <v>0</v>
      </c>
      <c r="N3185" s="1469">
        <v>2.1174531635512306</v>
      </c>
      <c r="O3185" s="1469"/>
    </row>
    <row r="3186" spans="11:15">
      <c r="K3186" s="1465">
        <v>45243</v>
      </c>
      <c r="L3186" s="1469" t="s">
        <v>2127</v>
      </c>
      <c r="M3186" s="849">
        <v>5.0788E-2</v>
      </c>
      <c r="N3186" s="1469">
        <v>2.1185285756639352</v>
      </c>
      <c r="O3186" s="1469"/>
    </row>
    <row r="3187" spans="11:15">
      <c r="K3187" s="1465">
        <v>45244</v>
      </c>
      <c r="L3187" s="1469" t="s">
        <v>2127</v>
      </c>
      <c r="M3187" s="849">
        <v>5.0788E-2</v>
      </c>
      <c r="N3187" s="1469">
        <v>2.1196045339569434</v>
      </c>
      <c r="O3187" s="1469"/>
    </row>
    <row r="3188" spans="11:15">
      <c r="K3188" s="1465">
        <v>45245</v>
      </c>
      <c r="L3188" s="1469"/>
      <c r="M3188" s="849">
        <v>0</v>
      </c>
      <c r="N3188" s="1469">
        <v>2.1196045339569434</v>
      </c>
      <c r="O3188" s="1469"/>
    </row>
    <row r="3189" spans="11:15">
      <c r="K3189" s="1465">
        <v>45246</v>
      </c>
      <c r="L3189" s="1469" t="s">
        <v>2127</v>
      </c>
      <c r="M3189" s="849">
        <v>5.0788E-2</v>
      </c>
      <c r="N3189" s="1469">
        <v>2.1206810387076493</v>
      </c>
      <c r="O3189" s="1469"/>
    </row>
    <row r="3190" spans="11:15">
      <c r="K3190" s="1465">
        <v>45247</v>
      </c>
      <c r="L3190" s="1469" t="s">
        <v>2127</v>
      </c>
      <c r="M3190" s="849">
        <v>5.0788E-2</v>
      </c>
      <c r="N3190" s="1469">
        <v>2.1217580901935884</v>
      </c>
      <c r="O3190" s="1469"/>
    </row>
    <row r="3191" spans="11:15">
      <c r="K3191" s="1465">
        <v>45248</v>
      </c>
      <c r="L3191" s="1469"/>
      <c r="M3191" s="849">
        <v>0</v>
      </c>
      <c r="N3191" s="1469">
        <v>2.1217580901935884</v>
      </c>
      <c r="O3191" s="1469"/>
    </row>
    <row r="3192" spans="11:15">
      <c r="K3192" s="1465">
        <v>45249</v>
      </c>
      <c r="L3192" s="1469"/>
      <c r="M3192" s="849">
        <v>0</v>
      </c>
      <c r="N3192" s="1469">
        <v>2.1217580901935884</v>
      </c>
      <c r="O3192" s="1469"/>
    </row>
    <row r="3193" spans="11:15">
      <c r="K3193" s="1465">
        <v>45250</v>
      </c>
      <c r="L3193" s="1469" t="s">
        <v>2127</v>
      </c>
      <c r="M3193" s="849">
        <v>5.0788E-2</v>
      </c>
      <c r="N3193" s="1469">
        <v>2.1228356886924358</v>
      </c>
      <c r="O3193" s="1469"/>
    </row>
    <row r="3194" spans="11:15">
      <c r="K3194" s="1465">
        <v>45251</v>
      </c>
      <c r="L3194" s="1469" t="s">
        <v>2127</v>
      </c>
      <c r="M3194" s="849">
        <v>5.0788E-2</v>
      </c>
      <c r="N3194" s="1469">
        <v>2.1239138344820088</v>
      </c>
      <c r="O3194" s="1469"/>
    </row>
    <row r="3195" spans="11:15">
      <c r="K3195" s="1465">
        <v>45252</v>
      </c>
      <c r="L3195" s="1469" t="s">
        <v>2127</v>
      </c>
      <c r="M3195" s="849">
        <v>5.0788E-2</v>
      </c>
      <c r="N3195" s="1469">
        <v>2.1249925278402655</v>
      </c>
      <c r="O3195" s="1469"/>
    </row>
    <row r="3196" spans="11:15">
      <c r="K3196" s="1465">
        <v>45253</v>
      </c>
      <c r="L3196" s="1469" t="s">
        <v>2127</v>
      </c>
      <c r="M3196" s="849">
        <v>5.0788E-2</v>
      </c>
      <c r="N3196" s="1469">
        <v>2.1260717690453048</v>
      </c>
      <c r="O3196" s="1469"/>
    </row>
    <row r="3197" spans="11:15">
      <c r="K3197" s="1465">
        <v>45254</v>
      </c>
      <c r="L3197" s="1469" t="s">
        <v>2127</v>
      </c>
      <c r="M3197" s="849">
        <v>5.0788E-2</v>
      </c>
      <c r="N3197" s="1469">
        <v>2.1271515583753677</v>
      </c>
      <c r="O3197" s="1469"/>
    </row>
    <row r="3198" spans="11:15">
      <c r="K3198" s="1465">
        <v>45255</v>
      </c>
      <c r="L3198" s="1469"/>
      <c r="M3198" s="849">
        <v>0</v>
      </c>
      <c r="N3198" s="1469">
        <v>2.1271515583753677</v>
      </c>
      <c r="O3198" s="1469"/>
    </row>
    <row r="3199" spans="11:15">
      <c r="K3199" s="1465">
        <v>45256</v>
      </c>
      <c r="L3199" s="1469"/>
      <c r="M3199" s="849">
        <v>0</v>
      </c>
      <c r="N3199" s="1469">
        <v>2.1271515583753677</v>
      </c>
      <c r="O3199" s="1469"/>
    </row>
    <row r="3200" spans="11:15">
      <c r="K3200" s="1465">
        <v>45257</v>
      </c>
      <c r="L3200" s="1469" t="s">
        <v>2127</v>
      </c>
      <c r="M3200" s="849">
        <v>5.0788E-2</v>
      </c>
      <c r="N3200" s="1469">
        <v>2.1282318961088356</v>
      </c>
      <c r="O3200" s="1469"/>
    </row>
    <row r="3201" spans="11:15">
      <c r="K3201" s="1465">
        <v>45258</v>
      </c>
      <c r="L3201" s="1469" t="s">
        <v>2127</v>
      </c>
      <c r="M3201" s="849">
        <v>5.0788E-2</v>
      </c>
      <c r="N3201" s="1469">
        <v>2.1293127825242313</v>
      </c>
      <c r="O3201" s="1469"/>
    </row>
    <row r="3202" spans="11:15">
      <c r="K3202" s="1465">
        <v>45259</v>
      </c>
      <c r="L3202" s="1469" t="s">
        <v>2127</v>
      </c>
      <c r="M3202" s="849">
        <v>5.0788E-2</v>
      </c>
      <c r="N3202" s="1469">
        <v>2.1303942179002195</v>
      </c>
      <c r="O3202" s="1469"/>
    </row>
    <row r="3203" spans="11:15">
      <c r="K3203" s="1465">
        <v>45260</v>
      </c>
      <c r="L3203" s="1469" t="s">
        <v>2127</v>
      </c>
      <c r="M3203" s="849">
        <v>5.0788E-2</v>
      </c>
      <c r="N3203" s="1469">
        <v>2.1314762025156067</v>
      </c>
      <c r="O3203" s="1469"/>
    </row>
    <row r="3204" spans="11:15">
      <c r="K3204" s="1465">
        <v>45261</v>
      </c>
      <c r="L3204" s="1469" t="s">
        <v>2127</v>
      </c>
      <c r="M3204" s="849">
        <v>5.0788E-2</v>
      </c>
      <c r="N3204" s="1469">
        <v>2.1325587366493401</v>
      </c>
      <c r="O3204" s="1469"/>
    </row>
    <row r="3205" spans="11:15">
      <c r="K3205" s="1465">
        <v>45262</v>
      </c>
      <c r="L3205" s="1469"/>
      <c r="M3205" s="849">
        <v>0</v>
      </c>
      <c r="N3205" s="1469">
        <v>2.1325587366493401</v>
      </c>
      <c r="O3205" s="1469"/>
    </row>
    <row r="3206" spans="11:15">
      <c r="K3206" s="1465">
        <v>45263</v>
      </c>
      <c r="L3206" s="1469"/>
      <c r="M3206" s="849">
        <v>0</v>
      </c>
      <c r="N3206" s="1469">
        <v>2.1325587366493401</v>
      </c>
      <c r="O3206" s="1469"/>
    </row>
    <row r="3207" spans="11:15">
      <c r="K3207" s="1465">
        <v>45264</v>
      </c>
      <c r="L3207" s="1469" t="s">
        <v>2127</v>
      </c>
      <c r="M3207" s="849">
        <v>5.0788E-2</v>
      </c>
      <c r="N3207" s="1469">
        <v>2.1336418205805097</v>
      </c>
      <c r="O3207" s="1469"/>
    </row>
    <row r="3208" spans="11:15">
      <c r="K3208" s="1465">
        <v>45265</v>
      </c>
      <c r="L3208" s="1469" t="s">
        <v>2127</v>
      </c>
      <c r="M3208" s="849">
        <v>5.0788E-2</v>
      </c>
      <c r="N3208" s="1469">
        <v>2.1347254545883461</v>
      </c>
      <c r="O3208" s="1469"/>
    </row>
    <row r="3209" spans="11:15">
      <c r="K3209" s="1465">
        <v>45266</v>
      </c>
      <c r="L3209" s="1469" t="s">
        <v>2127</v>
      </c>
      <c r="M3209" s="849">
        <v>5.0788E-2</v>
      </c>
      <c r="N3209" s="1469">
        <v>2.1358096389522223</v>
      </c>
      <c r="O3209" s="1469"/>
    </row>
    <row r="3210" spans="11:15">
      <c r="K3210" s="1465">
        <v>45267</v>
      </c>
      <c r="L3210" s="1469" t="s">
        <v>2127</v>
      </c>
      <c r="M3210" s="849">
        <v>5.0788E-2</v>
      </c>
      <c r="N3210" s="1469">
        <v>2.1368943739516535</v>
      </c>
      <c r="O3210" s="1469"/>
    </row>
    <row r="3211" spans="11:15">
      <c r="K3211" s="1465">
        <v>45268</v>
      </c>
      <c r="L3211" s="1469" t="s">
        <v>2127</v>
      </c>
      <c r="M3211" s="849">
        <v>5.0788E-2</v>
      </c>
      <c r="N3211" s="1469">
        <v>2.1379796598662959</v>
      </c>
      <c r="O3211" s="1469"/>
    </row>
    <row r="3212" spans="11:15">
      <c r="K3212" s="1465">
        <v>45269</v>
      </c>
      <c r="L3212" s="1469"/>
      <c r="M3212" s="849">
        <v>0</v>
      </c>
      <c r="N3212" s="1469">
        <v>2.1379796598662959</v>
      </c>
      <c r="O3212" s="1469"/>
    </row>
    <row r="3213" spans="11:15">
      <c r="K3213" s="1465">
        <v>45270</v>
      </c>
      <c r="L3213" s="1469"/>
      <c r="M3213" s="849">
        <v>0</v>
      </c>
      <c r="N3213" s="1469">
        <v>2.1379796598662959</v>
      </c>
      <c r="O3213" s="1469"/>
    </row>
    <row r="3214" spans="11:15">
      <c r="K3214" s="1465">
        <v>45271</v>
      </c>
      <c r="L3214" s="1469" t="s">
        <v>2127</v>
      </c>
      <c r="M3214" s="849">
        <v>5.0788E-2</v>
      </c>
      <c r="N3214" s="1469">
        <v>2.1390654969759488</v>
      </c>
      <c r="O3214" s="1469"/>
    </row>
    <row r="3215" spans="11:15">
      <c r="K3215" s="1465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65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65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65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65">
        <v>45276</v>
      </c>
      <c r="M3219" s="1">
        <v>0</v>
      </c>
      <c r="N3219" s="1">
        <v>2.1434143629656153</v>
      </c>
    </row>
    <row r="3220" spans="11:14">
      <c r="K3220" s="1465">
        <v>45277</v>
      </c>
      <c r="M3220" s="1">
        <v>0</v>
      </c>
      <c r="N3220" s="1">
        <v>2.1434143629656153</v>
      </c>
    </row>
    <row r="3221" spans="11:14">
      <c r="K3221" s="1465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65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65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65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65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65">
        <v>45283</v>
      </c>
      <c r="M3226" s="1">
        <v>0</v>
      </c>
      <c r="N3226" s="1">
        <v>2.1488628809754942</v>
      </c>
    </row>
    <row r="3227" spans="11:14">
      <c r="K3227" s="1465">
        <v>45284</v>
      </c>
      <c r="M3227" s="1">
        <v>0</v>
      </c>
      <c r="N3227" s="1">
        <v>2.1488628809754942</v>
      </c>
    </row>
    <row r="3228" spans="11:14">
      <c r="K3228" s="1465">
        <v>45285</v>
      </c>
      <c r="M3228" s="1">
        <v>0</v>
      </c>
      <c r="N3228" s="1">
        <v>2.1488628809754942</v>
      </c>
    </row>
    <row r="3229" spans="11:14">
      <c r="K3229" s="1465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65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65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65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65">
        <v>45290</v>
      </c>
      <c r="M3233" s="1">
        <v>0</v>
      </c>
      <c r="N3233" s="1">
        <v>2.1532316657147845</v>
      </c>
    </row>
    <row r="3234" spans="11:14">
      <c r="K3234" s="1465">
        <v>45291</v>
      </c>
      <c r="M3234" s="1">
        <v>0</v>
      </c>
      <c r="N3234" s="1">
        <v>2.1532316657147845</v>
      </c>
    </row>
    <row r="3235" spans="11:14">
      <c r="K3235" s="1465">
        <v>45292</v>
      </c>
      <c r="M3235" s="1">
        <v>0</v>
      </c>
      <c r="N3235" s="1">
        <v>2.1532316657147845</v>
      </c>
    </row>
    <row r="3236" spans="11:14">
      <c r="K3236" s="1465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65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65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65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65">
        <v>45297</v>
      </c>
      <c r="M3240" s="1">
        <v>0</v>
      </c>
      <c r="N3240" s="1">
        <v>2.1576093324912993</v>
      </c>
    </row>
    <row r="3241" spans="11:14">
      <c r="K3241" s="1465">
        <v>45298</v>
      </c>
      <c r="M3241" s="1">
        <v>0</v>
      </c>
      <c r="N3241" s="1">
        <v>2.1576093324912993</v>
      </c>
    </row>
    <row r="3242" spans="11:14">
      <c r="K3242" s="1465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65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65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65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65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65">
        <v>45304</v>
      </c>
      <c r="M3247" s="1">
        <v>0</v>
      </c>
      <c r="N3247" s="1">
        <v>2.1630939338401936</v>
      </c>
    </row>
    <row r="3248" spans="11:14">
      <c r="K3248" s="1465">
        <v>45305</v>
      </c>
      <c r="M3248" s="1">
        <v>0</v>
      </c>
      <c r="N3248" s="1">
        <v>2.1630939338401936</v>
      </c>
    </row>
    <row r="3249" spans="11:14">
      <c r="K3249" s="1465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65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65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65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65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65">
        <v>45311</v>
      </c>
      <c r="M3254" s="1">
        <v>0</v>
      </c>
      <c r="N3254" s="1">
        <v>2.1685924769400353</v>
      </c>
    </row>
    <row r="3255" spans="11:14">
      <c r="K3255" s="1465">
        <v>45312</v>
      </c>
      <c r="M3255" s="1">
        <v>0</v>
      </c>
      <c r="N3255" s="1">
        <v>2.1685924769400353</v>
      </c>
    </row>
    <row r="3256" spans="11:14">
      <c r="K3256" s="1465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65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65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65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65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65">
        <v>45318</v>
      </c>
      <c r="M3261" s="1">
        <v>0</v>
      </c>
      <c r="N3261" s="1">
        <v>2.1741049972304873</v>
      </c>
    </row>
    <row r="3262" spans="11:14">
      <c r="K3262" s="1465">
        <v>45319</v>
      </c>
      <c r="M3262" s="1">
        <v>0</v>
      </c>
      <c r="N3262" s="1">
        <v>2.1741049972304873</v>
      </c>
    </row>
    <row r="3263" spans="11:14">
      <c r="K3263" s="1465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65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65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65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65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65">
        <v>45325</v>
      </c>
      <c r="M3268" s="1">
        <v>0</v>
      </c>
      <c r="N3268" s="1">
        <v>2.1796315302412985</v>
      </c>
    </row>
    <row r="3269" spans="11:14">
      <c r="K3269" s="1465">
        <v>45326</v>
      </c>
      <c r="M3269" s="1">
        <v>0</v>
      </c>
      <c r="N3269" s="1">
        <v>2.1796315302412985</v>
      </c>
    </row>
    <row r="3270" spans="11:14">
      <c r="K3270" s="1465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65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65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65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65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65">
        <v>45332</v>
      </c>
      <c r="M3275" s="1">
        <v>0</v>
      </c>
      <c r="N3275" s="1">
        <v>2.1851721115925344</v>
      </c>
    </row>
    <row r="3276" spans="11:14">
      <c r="K3276" s="1465">
        <v>45333</v>
      </c>
      <c r="M3276" s="1">
        <v>0</v>
      </c>
      <c r="N3276" s="1">
        <v>2.1851721115925344</v>
      </c>
    </row>
    <row r="3277" spans="11:14">
      <c r="K3277" s="1465">
        <v>45334</v>
      </c>
      <c r="M3277" s="1">
        <v>0</v>
      </c>
      <c r="N3277" s="1">
        <v>2.1851721115925344</v>
      </c>
    </row>
    <row r="3278" spans="11:14">
      <c r="K3278" s="1465">
        <v>45335</v>
      </c>
      <c r="M3278" s="1">
        <v>0</v>
      </c>
      <c r="N3278" s="1">
        <v>2.1851721115925344</v>
      </c>
    </row>
    <row r="3279" spans="11:14">
      <c r="K3279" s="1465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65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65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65">
        <v>45339</v>
      </c>
      <c r="M3282" s="1">
        <v>0</v>
      </c>
      <c r="N3282" s="1">
        <v>2.1885032184585205</v>
      </c>
    </row>
    <row r="3283" spans="11:14">
      <c r="K3283" s="1465">
        <v>45340</v>
      </c>
      <c r="M3283" s="1">
        <v>0</v>
      </c>
      <c r="N3283" s="1">
        <v>2.1885032184585205</v>
      </c>
    </row>
    <row r="3284" spans="11:14">
      <c r="K3284" s="1465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65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65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65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65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65">
        <v>45346</v>
      </c>
      <c r="M3289" s="1">
        <v>0</v>
      </c>
      <c r="N3289" s="1">
        <v>2.194066351470259</v>
      </c>
    </row>
    <row r="3290" spans="11:14">
      <c r="K3290" s="1465">
        <v>45347</v>
      </c>
      <c r="M3290" s="1">
        <v>0</v>
      </c>
      <c r="N3290" s="1">
        <v>2.194066351470259</v>
      </c>
    </row>
    <row r="3291" spans="11:14">
      <c r="K3291" s="1465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65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65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65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65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65">
        <v>45353</v>
      </c>
      <c r="M3296" s="1">
        <v>0</v>
      </c>
      <c r="N3296" s="1">
        <v>2.1996436258589185</v>
      </c>
    </row>
    <row r="3297" spans="11:14">
      <c r="K3297" s="1465">
        <v>45354</v>
      </c>
      <c r="M3297" s="1">
        <v>0</v>
      </c>
      <c r="N3297" s="1">
        <v>2.1996436258589185</v>
      </c>
    </row>
    <row r="3298" spans="11:14">
      <c r="K3298" s="1465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65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65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65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65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65">
        <v>45360</v>
      </c>
      <c r="M3303" s="1">
        <v>0</v>
      </c>
      <c r="N3303" s="1">
        <v>2.2052350775716074</v>
      </c>
    </row>
    <row r="3304" spans="11:14">
      <c r="K3304" s="1465">
        <v>45361</v>
      </c>
      <c r="M3304" s="1">
        <v>0</v>
      </c>
      <c r="N3304" s="1">
        <v>2.2052350775716074</v>
      </c>
    </row>
    <row r="3305" spans="11:14">
      <c r="K3305" s="1465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65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65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65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65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65">
        <v>45367</v>
      </c>
      <c r="M3310" s="1">
        <v>0</v>
      </c>
      <c r="N3310" s="1">
        <v>2.21084074264681</v>
      </c>
    </row>
    <row r="3311" spans="11:14">
      <c r="K3311" s="1465">
        <v>45368</v>
      </c>
      <c r="M3311" s="1">
        <v>0</v>
      </c>
      <c r="N3311" s="1">
        <v>2.21084074264681</v>
      </c>
    </row>
    <row r="3312" spans="11:14">
      <c r="K3312" s="1465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65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65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65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65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65"/>
    </row>
    <row r="3318" spans="11:14">
      <c r="K3318" s="1465"/>
    </row>
    <row r="3319" spans="11:14">
      <c r="K3319" s="1465"/>
    </row>
    <row r="3320" spans="11:14">
      <c r="K3320" s="1465"/>
    </row>
    <row r="3321" spans="11:14">
      <c r="K3321" s="1465"/>
    </row>
    <row r="3322" spans="11:14">
      <c r="K3322" s="1465"/>
    </row>
    <row r="3323" spans="11:14">
      <c r="K3323" s="1465"/>
    </row>
    <row r="3324" spans="11:14">
      <c r="K3324" s="1465"/>
    </row>
    <row r="3325" spans="11:14">
      <c r="K3325" s="1465"/>
    </row>
    <row r="3326" spans="11:14">
      <c r="K3326" s="1465"/>
    </row>
    <row r="3327" spans="11:14">
      <c r="K3327" s="1465"/>
    </row>
    <row r="3328" spans="11:14">
      <c r="K3328" s="1465"/>
    </row>
    <row r="3329" spans="11:11">
      <c r="K3329" s="1465"/>
    </row>
    <row r="3330" spans="11:11">
      <c r="K3330" s="1465"/>
    </row>
    <row r="3331" spans="11:11">
      <c r="K3331" s="1465"/>
    </row>
    <row r="3332" spans="11:11">
      <c r="K3332" s="1465"/>
    </row>
    <row r="3333" spans="11:11">
      <c r="K3333" s="1465"/>
    </row>
    <row r="3334" spans="11:11">
      <c r="K3334" s="1465"/>
    </row>
    <row r="3335" spans="11:11">
      <c r="K3335" s="1465"/>
    </row>
    <row r="3336" spans="11:11">
      <c r="K3336" s="1465"/>
    </row>
    <row r="3337" spans="11:11">
      <c r="K3337" s="1465"/>
    </row>
    <row r="3338" spans="11:11">
      <c r="K3338" s="1465"/>
    </row>
    <row r="3339" spans="11:11">
      <c r="K3339" s="1465"/>
    </row>
    <row r="3340" spans="11:11">
      <c r="K3340" s="1465"/>
    </row>
    <row r="3341" spans="11:11">
      <c r="K3341" s="1465"/>
    </row>
    <row r="3342" spans="11:11">
      <c r="K3342" s="1465"/>
    </row>
    <row r="3343" spans="11:11">
      <c r="K3343" s="1465"/>
    </row>
    <row r="3344" spans="11:11">
      <c r="K3344" s="1465"/>
    </row>
    <row r="3345" spans="11:11">
      <c r="K3345" s="1465"/>
    </row>
    <row r="3346" spans="11:11">
      <c r="K3346" s="1465"/>
    </row>
    <row r="3347" spans="11:11">
      <c r="K3347" s="1465"/>
    </row>
    <row r="3348" spans="11:11">
      <c r="K3348" s="1465"/>
    </row>
    <row r="3349" spans="11:11">
      <c r="K3349" s="1465"/>
    </row>
    <row r="3350" spans="11:11">
      <c r="K3350" s="1465"/>
    </row>
    <row r="3351" spans="11:11">
      <c r="K3351" s="1465"/>
    </row>
    <row r="3352" spans="11:11">
      <c r="K3352" s="1465"/>
    </row>
    <row r="3353" spans="11:11">
      <c r="K3353" s="1465"/>
    </row>
    <row r="3354" spans="11:11">
      <c r="K3354" s="1465"/>
    </row>
    <row r="3355" spans="11:11">
      <c r="K3355" s="1465"/>
    </row>
    <row r="3356" spans="11:11">
      <c r="K3356" s="1465"/>
    </row>
    <row r="3357" spans="11:11">
      <c r="K3357" s="1465"/>
    </row>
    <row r="3358" spans="11:11">
      <c r="K3358" s="1465"/>
    </row>
    <row r="3359" spans="11:11">
      <c r="K3359" s="1465"/>
    </row>
    <row r="3360" spans="11:11">
      <c r="K3360" s="1465"/>
    </row>
    <row r="3361" spans="11:11">
      <c r="K3361" s="1465"/>
    </row>
    <row r="3362" spans="11:11">
      <c r="K3362" s="1465"/>
    </row>
    <row r="3363" spans="11:11">
      <c r="K3363" s="1465"/>
    </row>
    <row r="3364" spans="11:11">
      <c r="K3364" s="1465"/>
    </row>
    <row r="3365" spans="11:11">
      <c r="K3365" s="1465"/>
    </row>
    <row r="3366" spans="11:11">
      <c r="K3366" s="1465"/>
    </row>
    <row r="3367" spans="11:11">
      <c r="K3367" s="1465"/>
    </row>
    <row r="3368" spans="11:11">
      <c r="K3368" s="1465"/>
    </row>
    <row r="3369" spans="11:11">
      <c r="K3369" s="1465"/>
    </row>
    <row r="3370" spans="11:11">
      <c r="K3370" s="1465"/>
    </row>
    <row r="3371" spans="11:11">
      <c r="K3371" s="1465"/>
    </row>
    <row r="3372" spans="11:11">
      <c r="K3372" s="1465"/>
    </row>
    <row r="3373" spans="11:11">
      <c r="K3373" s="1465"/>
    </row>
    <row r="3374" spans="11:11">
      <c r="K3374" s="1465"/>
    </row>
    <row r="3375" spans="11:11">
      <c r="K3375" s="1465"/>
    </row>
    <row r="3376" spans="11:11">
      <c r="K3376" s="1465"/>
    </row>
    <row r="3377" spans="11:11">
      <c r="K3377" s="1465"/>
    </row>
    <row r="3378" spans="11:11">
      <c r="K3378" s="1465"/>
    </row>
    <row r="3379" spans="11:11">
      <c r="K3379" s="1465"/>
    </row>
    <row r="3380" spans="11:11">
      <c r="K3380" s="1465"/>
    </row>
    <row r="3381" spans="11:11">
      <c r="K3381" s="1465"/>
    </row>
    <row r="3382" spans="11:11">
      <c r="K3382" s="1465"/>
    </row>
    <row r="3383" spans="11:11">
      <c r="K3383" s="1465"/>
    </row>
    <row r="3384" spans="11:11">
      <c r="K3384" s="1465"/>
    </row>
    <row r="3385" spans="11:11">
      <c r="K3385" s="1465"/>
    </row>
    <row r="3386" spans="11:11">
      <c r="K3386" s="1465"/>
    </row>
    <row r="3387" spans="11:11">
      <c r="K3387" s="1465"/>
    </row>
    <row r="3388" spans="11:11">
      <c r="K3388" s="1465"/>
    </row>
    <row r="3389" spans="11:11">
      <c r="K3389" s="1465"/>
    </row>
    <row r="3390" spans="11:11">
      <c r="K3390" s="1465"/>
    </row>
    <row r="3391" spans="11:11">
      <c r="K3391" s="1465"/>
    </row>
    <row r="3392" spans="11:11">
      <c r="K3392" s="1465"/>
    </row>
    <row r="3393" spans="11:11">
      <c r="K3393" s="1465"/>
    </row>
    <row r="3394" spans="11:11">
      <c r="K3394" s="1465"/>
    </row>
    <row r="3395" spans="11:11">
      <c r="K3395" s="1465"/>
    </row>
    <row r="3396" spans="11:11">
      <c r="K3396" s="1465"/>
    </row>
    <row r="3397" spans="11:11">
      <c r="K3397" s="1465"/>
    </row>
    <row r="3398" spans="11:11">
      <c r="K3398" s="1465"/>
    </row>
    <row r="3399" spans="11:11">
      <c r="K3399" s="1465"/>
    </row>
    <row r="3400" spans="11:11">
      <c r="K3400" s="1465"/>
    </row>
    <row r="3401" spans="11:11">
      <c r="K3401" s="1465"/>
    </row>
    <row r="3402" spans="11:11">
      <c r="K3402" s="1465"/>
    </row>
    <row r="3403" spans="11:11">
      <c r="K3403" s="1465"/>
    </row>
    <row r="3404" spans="11:11">
      <c r="K3404" s="1465"/>
    </row>
    <row r="3405" spans="11:11">
      <c r="K3405" s="1465"/>
    </row>
    <row r="3406" spans="11:11">
      <c r="K3406" s="1465"/>
    </row>
    <row r="3407" spans="11:11">
      <c r="K3407" s="1465"/>
    </row>
    <row r="3408" spans="11:11">
      <c r="K3408" s="1465"/>
    </row>
    <row r="3409" spans="11:11">
      <c r="K3409" s="1465"/>
    </row>
    <row r="3410" spans="11:11">
      <c r="K3410" s="1465"/>
    </row>
    <row r="3411" spans="11:11">
      <c r="K3411" s="1465"/>
    </row>
    <row r="3412" spans="11:11">
      <c r="K3412" s="1465"/>
    </row>
    <row r="3413" spans="11:11">
      <c r="K3413" s="1465"/>
    </row>
    <row r="3414" spans="11:11">
      <c r="K3414" s="1465"/>
    </row>
    <row r="3415" spans="11:11">
      <c r="K3415" s="1465"/>
    </row>
    <row r="3416" spans="11:11">
      <c r="K3416" s="1465"/>
    </row>
    <row r="3417" spans="11:11">
      <c r="K3417" s="1465"/>
    </row>
    <row r="3418" spans="11:11">
      <c r="K3418" s="1465"/>
    </row>
    <row r="3419" spans="11:11">
      <c r="K3419" s="1465"/>
    </row>
    <row r="3420" spans="11:11">
      <c r="K3420" s="1465"/>
    </row>
    <row r="3421" spans="11:11">
      <c r="K3421" s="1465"/>
    </row>
    <row r="3422" spans="11:11">
      <c r="K3422" s="1465"/>
    </row>
    <row r="3423" spans="11:11">
      <c r="K3423" s="1465"/>
    </row>
    <row r="3424" spans="11:11">
      <c r="K3424" s="1465"/>
    </row>
    <row r="3425" spans="11:11">
      <c r="K3425" s="1465"/>
    </row>
    <row r="3426" spans="11:11">
      <c r="K3426" s="1465"/>
    </row>
    <row r="3427" spans="11:11">
      <c r="K3427" s="1465"/>
    </row>
    <row r="3428" spans="11:11">
      <c r="K3428" s="1465"/>
    </row>
    <row r="3429" spans="11:11">
      <c r="K3429" s="1465"/>
    </row>
    <row r="3430" spans="11:11">
      <c r="K3430" s="1465"/>
    </row>
    <row r="3431" spans="11:11">
      <c r="K3431" s="1465"/>
    </row>
    <row r="3432" spans="11:11">
      <c r="K3432" s="1465"/>
    </row>
    <row r="3433" spans="11:11">
      <c r="K3433" s="1465"/>
    </row>
    <row r="3434" spans="11:11">
      <c r="K3434" s="1465"/>
    </row>
    <row r="3435" spans="11:11">
      <c r="K3435" s="1465"/>
    </row>
    <row r="3436" spans="11:11">
      <c r="K3436" s="1465"/>
    </row>
    <row r="3437" spans="11:11">
      <c r="K3437" s="1465"/>
    </row>
    <row r="3438" spans="11:11">
      <c r="K3438" s="1465"/>
    </row>
    <row r="3439" spans="11:11">
      <c r="K3439" s="1465"/>
    </row>
    <row r="3440" spans="11:11">
      <c r="K3440" s="1465"/>
    </row>
    <row r="3441" spans="11:11">
      <c r="K3441" s="1465"/>
    </row>
    <row r="3442" spans="11:11">
      <c r="K3442" s="1465"/>
    </row>
    <row r="3443" spans="11:11">
      <c r="K3443" s="1465"/>
    </row>
    <row r="3444" spans="11:11">
      <c r="K3444" s="1465"/>
    </row>
    <row r="3445" spans="11:11">
      <c r="K3445" s="1465"/>
    </row>
    <row r="3446" spans="11:11">
      <c r="K3446" s="1465"/>
    </row>
    <row r="3447" spans="11:11">
      <c r="K3447" s="1465"/>
    </row>
    <row r="3448" spans="11:11">
      <c r="K3448" s="1465"/>
    </row>
    <row r="3449" spans="11:11">
      <c r="K3449" s="1465"/>
    </row>
    <row r="3450" spans="11:11">
      <c r="K3450" s="1465"/>
    </row>
    <row r="3451" spans="11:11">
      <c r="K3451" s="1465"/>
    </row>
    <row r="3452" spans="11:11">
      <c r="K3452" s="1465"/>
    </row>
    <row r="3453" spans="11:11">
      <c r="K3453" s="1465"/>
    </row>
    <row r="3454" spans="11:11">
      <c r="K3454" s="1465"/>
    </row>
    <row r="3455" spans="11:11">
      <c r="K3455" s="1465"/>
    </row>
    <row r="3456" spans="11:11">
      <c r="K3456" s="1465"/>
    </row>
    <row r="3457" spans="11:11">
      <c r="K3457" s="1465"/>
    </row>
    <row r="3458" spans="11:11">
      <c r="K3458" s="1465"/>
    </row>
    <row r="3459" spans="11:11">
      <c r="K3459" s="1465"/>
    </row>
    <row r="3460" spans="11:11">
      <c r="K3460" s="1465"/>
    </row>
    <row r="3461" spans="11:11">
      <c r="K3461" s="1465"/>
    </row>
    <row r="3462" spans="11:11">
      <c r="K3462" s="1465"/>
    </row>
    <row r="3463" spans="11:11">
      <c r="K3463" s="1465"/>
    </row>
    <row r="3464" spans="11:11">
      <c r="K3464" s="1465"/>
    </row>
    <row r="3465" spans="11:11">
      <c r="K3465" s="1465"/>
    </row>
    <row r="3466" spans="11:11">
      <c r="K3466" s="1465"/>
    </row>
    <row r="3467" spans="11:11">
      <c r="K3467" s="1465"/>
    </row>
    <row r="3468" spans="11:11">
      <c r="K3468" s="1465"/>
    </row>
    <row r="3469" spans="11:11">
      <c r="K3469" s="1465"/>
    </row>
    <row r="3470" spans="11:11">
      <c r="K3470" s="1465"/>
    </row>
    <row r="3471" spans="11:11">
      <c r="K3471" s="1465"/>
    </row>
    <row r="3472" spans="11:11">
      <c r="K3472" s="1465"/>
    </row>
    <row r="3473" spans="11:11">
      <c r="K3473" s="1465"/>
    </row>
    <row r="3474" spans="11:11">
      <c r="K3474" s="1465"/>
    </row>
    <row r="3475" spans="11:11">
      <c r="K3475" s="1465"/>
    </row>
    <row r="3476" spans="11:11">
      <c r="K3476" s="1465"/>
    </row>
    <row r="3477" spans="11:11">
      <c r="K3477" s="1465"/>
    </row>
    <row r="3478" spans="11:11">
      <c r="K3478" s="1465"/>
    </row>
    <row r="3479" spans="11:11">
      <c r="K3479" s="1465"/>
    </row>
    <row r="3480" spans="11:11">
      <c r="K3480" s="1465"/>
    </row>
    <row r="3481" spans="11:11">
      <c r="K3481" s="1465"/>
    </row>
    <row r="3482" spans="11:11">
      <c r="K3482" s="1465"/>
    </row>
    <row r="3483" spans="11:11">
      <c r="K3483" s="1465"/>
    </row>
    <row r="3484" spans="11:11">
      <c r="K3484" s="1465"/>
    </row>
    <row r="3485" spans="11:11">
      <c r="K3485" s="1465"/>
    </row>
    <row r="3486" spans="11:11">
      <c r="K3486" s="1465"/>
    </row>
    <row r="3487" spans="11:11">
      <c r="K3487" s="1465"/>
    </row>
    <row r="3488" spans="11:11">
      <c r="K3488" s="1465"/>
    </row>
    <row r="3489" spans="11:11">
      <c r="K3489" s="1465"/>
    </row>
    <row r="3490" spans="11:11">
      <c r="K3490" s="1465"/>
    </row>
    <row r="3491" spans="11:11">
      <c r="K3491" s="1465"/>
    </row>
    <row r="3492" spans="11:11">
      <c r="K3492" s="1465"/>
    </row>
    <row r="3493" spans="11:11">
      <c r="K3493" s="1465"/>
    </row>
    <row r="3494" spans="11:11">
      <c r="K3494" s="1465"/>
    </row>
    <row r="3495" spans="11:11">
      <c r="K3495" s="1465"/>
    </row>
    <row r="3496" spans="11:11">
      <c r="K3496" s="1465"/>
    </row>
    <row r="3497" spans="11:11">
      <c r="K3497" s="1465"/>
    </row>
    <row r="3498" spans="11:11">
      <c r="K3498" s="1465"/>
    </row>
    <row r="3499" spans="11:11">
      <c r="K3499" s="1465"/>
    </row>
    <row r="3500" spans="11:11">
      <c r="K3500" s="1465"/>
    </row>
    <row r="3501" spans="11:11">
      <c r="K3501" s="1465"/>
    </row>
    <row r="3502" spans="11:11">
      <c r="K3502" s="1465"/>
    </row>
    <row r="3503" spans="11:11">
      <c r="K3503" s="1465"/>
    </row>
    <row r="3504" spans="11:11">
      <c r="K3504" s="1465"/>
    </row>
    <row r="3505" spans="11:11">
      <c r="K3505" s="1465"/>
    </row>
    <row r="3506" spans="11:11">
      <c r="K3506" s="1465"/>
    </row>
    <row r="3507" spans="11:11">
      <c r="K3507" s="1465"/>
    </row>
    <row r="3508" spans="11:11">
      <c r="K3508" s="1465"/>
    </row>
    <row r="3509" spans="11:11">
      <c r="K3509" s="1465"/>
    </row>
    <row r="3510" spans="11:11">
      <c r="K3510" s="1465"/>
    </row>
    <row r="3511" spans="11:11">
      <c r="K3511" s="1465"/>
    </row>
    <row r="3512" spans="11:11">
      <c r="K3512" s="1465"/>
    </row>
    <row r="3513" spans="11:11">
      <c r="K3513" s="1465"/>
    </row>
    <row r="3514" spans="11:11">
      <c r="K3514" s="1465"/>
    </row>
    <row r="3515" spans="11:11">
      <c r="K3515" s="1465"/>
    </row>
    <row r="3516" spans="11:11">
      <c r="K3516" s="1465"/>
    </row>
    <row r="3517" spans="11:11">
      <c r="K3517" s="1465"/>
    </row>
    <row r="3518" spans="11:11">
      <c r="K3518" s="1465"/>
    </row>
    <row r="3519" spans="11:11">
      <c r="K3519" s="1465"/>
    </row>
    <row r="3520" spans="11:11">
      <c r="K3520" s="1465"/>
    </row>
    <row r="3521" spans="11:11">
      <c r="K3521" s="1465"/>
    </row>
    <row r="3522" spans="11:11">
      <c r="K3522" s="1465"/>
    </row>
    <row r="3523" spans="11:11">
      <c r="K3523" s="1465"/>
    </row>
    <row r="3524" spans="11:11">
      <c r="K3524" s="1465"/>
    </row>
    <row r="3525" spans="11:11">
      <c r="K3525" s="1465"/>
    </row>
    <row r="3526" spans="11:11">
      <c r="K3526" s="1465"/>
    </row>
    <row r="3527" spans="11:11">
      <c r="K3527" s="1465"/>
    </row>
    <row r="3528" spans="11:11">
      <c r="K3528" s="1465"/>
    </row>
    <row r="3529" spans="11:11">
      <c r="K3529" s="1465"/>
    </row>
    <row r="3530" spans="11:11">
      <c r="K3530" s="1465"/>
    </row>
    <row r="3531" spans="11:11">
      <c r="K3531" s="1465"/>
    </row>
    <row r="3532" spans="11:11">
      <c r="K3532" s="1465"/>
    </row>
    <row r="3533" spans="11:11">
      <c r="K3533" s="1465"/>
    </row>
    <row r="3534" spans="11:11">
      <c r="K3534" s="1465"/>
    </row>
    <row r="3535" spans="11:11">
      <c r="K3535" s="1465"/>
    </row>
    <row r="3536" spans="11:11">
      <c r="K3536" s="1465"/>
    </row>
    <row r="3537" spans="11:11">
      <c r="K3537" s="1465"/>
    </row>
    <row r="3538" spans="11:11">
      <c r="K3538" s="1465"/>
    </row>
    <row r="3539" spans="11:11">
      <c r="K3539" s="1465"/>
    </row>
    <row r="3540" spans="11:11">
      <c r="K3540" s="1465"/>
    </row>
    <row r="3541" spans="11:11">
      <c r="K3541" s="1465"/>
    </row>
    <row r="3542" spans="11:11">
      <c r="K3542" s="1465"/>
    </row>
    <row r="3543" spans="11:11">
      <c r="K3543" s="1465"/>
    </row>
    <row r="3544" spans="11:11">
      <c r="K3544" s="1465"/>
    </row>
    <row r="3545" spans="11:11">
      <c r="K3545" s="1465"/>
    </row>
    <row r="3546" spans="11:11">
      <c r="K3546" s="1465"/>
    </row>
    <row r="3547" spans="11:11">
      <c r="K3547" s="1465"/>
    </row>
    <row r="3548" spans="11:11">
      <c r="K3548" s="1465"/>
    </row>
    <row r="3549" spans="11:11">
      <c r="K3549" s="1465"/>
    </row>
    <row r="3550" spans="11:11">
      <c r="K3550" s="1465"/>
    </row>
    <row r="3551" spans="11:11">
      <c r="K3551" s="1465"/>
    </row>
    <row r="3552" spans="11:11">
      <c r="K3552" s="1465"/>
    </row>
    <row r="3553" spans="11:11">
      <c r="K3553" s="1465"/>
    </row>
    <row r="3554" spans="11:11">
      <c r="K3554" s="1465"/>
    </row>
    <row r="3555" spans="11:11">
      <c r="K3555" s="1465"/>
    </row>
    <row r="3556" spans="11:11">
      <c r="K3556" s="1465"/>
    </row>
    <row r="3557" spans="11:11">
      <c r="K3557" s="1465"/>
    </row>
    <row r="3558" spans="11:11">
      <c r="K3558" s="1465"/>
    </row>
    <row r="3559" spans="11:11">
      <c r="K3559" s="1465"/>
    </row>
    <row r="3560" spans="11:11">
      <c r="K3560" s="1465"/>
    </row>
    <row r="3561" spans="11:11">
      <c r="K3561" s="1465"/>
    </row>
    <row r="3562" spans="11:11">
      <c r="K3562" s="1465"/>
    </row>
    <row r="3563" spans="11:11">
      <c r="K3563" s="1465"/>
    </row>
    <row r="3564" spans="11:11">
      <c r="K3564" s="1465"/>
    </row>
    <row r="3565" spans="11:11">
      <c r="K3565" s="1465"/>
    </row>
    <row r="3566" spans="11:11">
      <c r="K3566" s="1465"/>
    </row>
    <row r="3567" spans="11:11">
      <c r="K3567" s="1465"/>
    </row>
    <row r="3568" spans="11:11">
      <c r="K3568" s="1465"/>
    </row>
    <row r="3569" spans="11:11">
      <c r="K3569" s="1465"/>
    </row>
    <row r="3570" spans="11:11">
      <c r="K3570" s="1465"/>
    </row>
    <row r="3571" spans="11:11">
      <c r="K3571" s="1465"/>
    </row>
    <row r="3572" spans="11:11">
      <c r="K3572" s="1465"/>
    </row>
    <row r="3573" spans="11:11">
      <c r="K3573" s="1465"/>
    </row>
    <row r="3574" spans="11:11">
      <c r="K3574" s="1465"/>
    </row>
    <row r="3575" spans="11:11">
      <c r="K3575" s="1465"/>
    </row>
    <row r="3576" spans="11:11">
      <c r="K3576" s="1465"/>
    </row>
    <row r="3577" spans="11:11">
      <c r="K3577" s="1465"/>
    </row>
    <row r="3578" spans="11:11">
      <c r="K3578" s="1465"/>
    </row>
    <row r="3579" spans="11:11">
      <c r="K3579" s="1465"/>
    </row>
    <row r="3580" spans="11:11">
      <c r="K3580" s="1465"/>
    </row>
    <row r="3581" spans="11:11">
      <c r="K3581" s="1465"/>
    </row>
    <row r="3582" spans="11:11">
      <c r="K3582" s="1465"/>
    </row>
    <row r="3583" spans="11:11">
      <c r="K3583" s="1465"/>
    </row>
    <row r="3584" spans="11:11">
      <c r="K3584" s="1465"/>
    </row>
    <row r="3585" spans="11:11">
      <c r="K3585" s="1465"/>
    </row>
    <row r="3586" spans="11:11">
      <c r="K3586" s="1465"/>
    </row>
    <row r="3587" spans="11:11">
      <c r="K3587" s="1465"/>
    </row>
    <row r="3588" spans="11:11">
      <c r="K3588" s="1465"/>
    </row>
    <row r="3589" spans="11:11">
      <c r="K3589" s="1465"/>
    </row>
    <row r="3590" spans="11:11">
      <c r="K3590" s="1465"/>
    </row>
    <row r="3591" spans="11:11">
      <c r="K3591" s="1465"/>
    </row>
    <row r="3592" spans="11:11">
      <c r="K3592" s="1465"/>
    </row>
    <row r="3593" spans="11:11">
      <c r="K3593" s="1465"/>
    </row>
    <row r="3594" spans="11:11">
      <c r="K3594" s="1465"/>
    </row>
    <row r="3595" spans="11:11">
      <c r="K3595" s="1465"/>
    </row>
    <row r="3596" spans="11:11">
      <c r="K3596" s="1465"/>
    </row>
    <row r="3597" spans="11:11">
      <c r="K3597" s="1465"/>
    </row>
    <row r="3598" spans="11:11">
      <c r="K3598" s="1465"/>
    </row>
    <row r="3599" spans="11:11">
      <c r="K3599" s="1465"/>
    </row>
    <row r="3600" spans="11:11">
      <c r="K3600" s="1465"/>
    </row>
    <row r="3601" spans="11:11">
      <c r="K3601" s="1465"/>
    </row>
    <row r="3602" spans="11:11">
      <c r="K3602" s="1465"/>
    </row>
    <row r="3603" spans="11:11">
      <c r="K3603" s="1465"/>
    </row>
    <row r="3604" spans="11:11">
      <c r="K3604" s="1465"/>
    </row>
    <row r="3605" spans="11:11">
      <c r="K3605" s="1465"/>
    </row>
    <row r="3606" spans="11:11">
      <c r="K3606" s="1465"/>
    </row>
    <row r="3607" spans="11:11">
      <c r="K3607" s="1465"/>
    </row>
    <row r="3608" spans="11:11">
      <c r="K3608" s="1465"/>
    </row>
    <row r="3609" spans="11:11">
      <c r="K3609" s="1465"/>
    </row>
    <row r="3610" spans="11:11">
      <c r="K3610" s="1465"/>
    </row>
    <row r="3611" spans="11:11">
      <c r="K3611" s="1465"/>
    </row>
    <row r="3612" spans="11:11">
      <c r="K3612" s="1465"/>
    </row>
    <row r="3613" spans="11:11">
      <c r="K3613" s="1465"/>
    </row>
    <row r="3614" spans="11:11">
      <c r="K3614" s="1465"/>
    </row>
    <row r="3615" spans="11:11">
      <c r="K3615" s="1465"/>
    </row>
    <row r="3616" spans="11:11">
      <c r="K3616" s="1465"/>
    </row>
    <row r="3617" spans="11:11">
      <c r="K3617" s="1465"/>
    </row>
    <row r="3618" spans="11:11">
      <c r="K3618" s="1465"/>
    </row>
    <row r="3619" spans="11:11">
      <c r="K3619" s="1465"/>
    </row>
    <row r="3620" spans="11:11">
      <c r="K3620" s="1465"/>
    </row>
    <row r="3621" spans="11:11">
      <c r="K3621" s="1465"/>
    </row>
    <row r="3622" spans="11:11">
      <c r="K3622" s="1465"/>
    </row>
    <row r="3623" spans="11:11">
      <c r="K3623" s="1465"/>
    </row>
    <row r="3624" spans="11:11">
      <c r="K3624" s="1465"/>
    </row>
    <row r="3625" spans="11:11">
      <c r="K3625" s="1465"/>
    </row>
    <row r="3626" spans="11:11">
      <c r="K3626" s="1465"/>
    </row>
    <row r="3627" spans="11:11">
      <c r="K3627" s="1465"/>
    </row>
    <row r="3628" spans="11:11">
      <c r="K3628" s="1465"/>
    </row>
    <row r="3629" spans="11:11">
      <c r="K3629" s="1465"/>
    </row>
    <row r="3630" spans="11:11">
      <c r="K3630" s="1465"/>
    </row>
    <row r="3631" spans="11:11">
      <c r="K3631" s="1465"/>
    </row>
    <row r="3632" spans="11:11">
      <c r="K3632" s="1465"/>
    </row>
    <row r="3633" spans="11:11">
      <c r="K3633" s="1465"/>
    </row>
    <row r="3634" spans="11:11">
      <c r="K3634" s="1465"/>
    </row>
    <row r="3635" spans="11:11">
      <c r="K3635" s="1465"/>
    </row>
    <row r="3636" spans="11:11">
      <c r="K3636" s="1465"/>
    </row>
    <row r="3637" spans="11:11">
      <c r="K3637" s="1465"/>
    </row>
    <row r="3638" spans="11:11">
      <c r="K3638" s="1465"/>
    </row>
    <row r="3639" spans="11:11">
      <c r="K3639" s="1465"/>
    </row>
    <row r="3640" spans="11:11">
      <c r="K3640" s="1465"/>
    </row>
    <row r="3641" spans="11:11">
      <c r="K3641" s="1465"/>
    </row>
    <row r="3642" spans="11:11">
      <c r="K3642" s="1465"/>
    </row>
    <row r="3643" spans="11:11">
      <c r="K3643" s="1465"/>
    </row>
    <row r="3644" spans="11:11">
      <c r="K3644" s="1465"/>
    </row>
    <row r="3645" spans="11:11">
      <c r="K3645" s="1465"/>
    </row>
    <row r="3646" spans="11:11">
      <c r="K3646" s="1465"/>
    </row>
    <row r="3647" spans="11:11">
      <c r="K3647" s="1465"/>
    </row>
    <row r="3648" spans="11:11">
      <c r="K3648" s="1465"/>
    </row>
    <row r="3649" spans="11:11">
      <c r="K3649" s="1465"/>
    </row>
    <row r="3650" spans="11:11">
      <c r="K3650" s="1465"/>
    </row>
    <row r="3651" spans="11:11">
      <c r="K3651" s="1465"/>
    </row>
    <row r="3652" spans="11:11">
      <c r="K3652" s="1465"/>
    </row>
    <row r="3653" spans="11:11">
      <c r="K3653" s="1465"/>
    </row>
    <row r="3654" spans="11:11">
      <c r="K3654" s="1465"/>
    </row>
    <row r="3655" spans="11:11">
      <c r="K3655" s="1465"/>
    </row>
    <row r="3656" spans="11:11">
      <c r="K3656" s="1465"/>
    </row>
    <row r="3657" spans="11:11">
      <c r="K3657" s="1465"/>
    </row>
    <row r="3658" spans="11:11">
      <c r="K3658" s="1465"/>
    </row>
    <row r="3659" spans="11:11">
      <c r="K3659" s="1465"/>
    </row>
    <row r="3660" spans="11:11">
      <c r="K3660" s="1465"/>
    </row>
    <row r="3661" spans="11:11">
      <c r="K3661" s="1465"/>
    </row>
    <row r="3662" spans="11:11">
      <c r="K3662" s="1465"/>
    </row>
    <row r="3663" spans="11:11">
      <c r="K3663" s="1465"/>
    </row>
    <row r="3664" spans="11:11">
      <c r="K3664" s="1465"/>
    </row>
    <row r="3665" spans="11:11">
      <c r="K3665" s="1465"/>
    </row>
    <row r="3666" spans="11:11">
      <c r="K3666" s="1465"/>
    </row>
    <row r="3667" spans="11:11">
      <c r="K3667" s="1465"/>
    </row>
    <row r="3668" spans="11:11">
      <c r="K3668" s="1465"/>
    </row>
    <row r="3669" spans="11:11">
      <c r="K3669" s="1465"/>
    </row>
    <row r="3670" spans="11:11">
      <c r="K3670" s="1465"/>
    </row>
    <row r="3671" spans="11:11">
      <c r="K3671" s="1465"/>
    </row>
    <row r="3672" spans="11:11">
      <c r="K3672" s="1465"/>
    </row>
    <row r="3673" spans="11:11">
      <c r="K3673" s="1465"/>
    </row>
    <row r="3674" spans="11:11">
      <c r="K3674" s="1465"/>
    </row>
    <row r="3675" spans="11:11">
      <c r="K3675" s="1465"/>
    </row>
    <row r="3676" spans="11:11">
      <c r="K3676" s="1465"/>
    </row>
    <row r="3677" spans="11:11">
      <c r="K3677" s="1465"/>
    </row>
    <row r="3678" spans="11:11">
      <c r="K3678" s="1465"/>
    </row>
    <row r="3679" spans="11:11">
      <c r="K3679" s="1465"/>
    </row>
    <row r="3680" spans="11:11">
      <c r="K3680" s="1465"/>
    </row>
    <row r="3681" spans="11:11">
      <c r="K3681" s="1465"/>
    </row>
    <row r="3682" spans="11:11">
      <c r="K3682" s="1465"/>
    </row>
    <row r="3683" spans="11:11">
      <c r="K3683" s="1465"/>
    </row>
    <row r="3684" spans="11:11">
      <c r="K3684" s="1465"/>
    </row>
    <row r="3685" spans="11:11">
      <c r="K3685" s="1465"/>
    </row>
    <row r="3686" spans="11:11">
      <c r="K3686" s="1465"/>
    </row>
    <row r="3687" spans="11:11">
      <c r="K3687" s="1465"/>
    </row>
    <row r="3688" spans="11:11">
      <c r="K3688" s="1465"/>
    </row>
    <row r="3689" spans="11:11">
      <c r="K3689" s="1465"/>
    </row>
    <row r="3690" spans="11:11">
      <c r="K3690" s="1465"/>
    </row>
    <row r="3691" spans="11:11">
      <c r="K3691" s="1465"/>
    </row>
    <row r="3692" spans="11:11">
      <c r="K3692" s="1465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77" t="s">
        <v>2201</v>
      </c>
      <c r="B9" s="1577" t="s">
        <v>2202</v>
      </c>
      <c r="C9" s="1577"/>
      <c r="D9" s="1577" t="s">
        <v>2203</v>
      </c>
      <c r="E9" s="1695" t="s">
        <v>2228</v>
      </c>
      <c r="F9" s="1695" t="s">
        <v>2227</v>
      </c>
      <c r="G9" s="1695" t="s">
        <v>36</v>
      </c>
    </row>
    <row r="10" spans="1:11">
      <c r="A10" s="1884" t="s">
        <v>753</v>
      </c>
      <c r="B10" s="1884" t="s">
        <v>2076</v>
      </c>
      <c r="C10" s="1578">
        <v>12</v>
      </c>
      <c r="D10" s="1578" t="s">
        <v>2034</v>
      </c>
      <c r="E10" s="1696">
        <f>Encargos!I20</f>
        <v>0</v>
      </c>
      <c r="F10" s="1696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696">
        <f>(SUMIFS(Financeiros[Valor],Financeiros[iddet1],19,Financeiros[iddet2],60,Financeiros[id_Detalhe_Grupo_TARIFA],C10))</f>
        <v>0</v>
      </c>
      <c r="K10" s="9"/>
    </row>
    <row r="11" spans="1:11">
      <c r="A11" s="1885"/>
      <c r="B11" s="1884"/>
      <c r="C11" s="1578">
        <v>14</v>
      </c>
      <c r="D11" s="1578" t="s">
        <v>40</v>
      </c>
      <c r="E11" s="1696">
        <f ca="1">Resultado!D17</f>
        <v>12857.088096908077</v>
      </c>
      <c r="F11" s="1696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-1049.8958455291686</v>
      </c>
      <c r="G11" s="1696">
        <f>(SUMIFS(Financeiros[Valor],Financeiros[iddet1],19,Financeiros[iddet2],60,Financeiros[id_Detalhe_Grupo_TARIFA],C11))</f>
        <v>0</v>
      </c>
    </row>
    <row r="12" spans="1:11">
      <c r="A12" s="1885"/>
      <c r="B12" s="1884"/>
      <c r="C12" s="1578">
        <v>19</v>
      </c>
      <c r="D12" s="1578" t="s">
        <v>48</v>
      </c>
      <c r="E12" s="1696">
        <f ca="1">Resultado!D22-E38</f>
        <v>0</v>
      </c>
      <c r="F12" s="1696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696">
        <f>(SUMIFS(Financeiros[Valor],Financeiros[iddet1],19,Financeiros[iddet2],60,Financeiros[id_Detalhe_Grupo_TARIFA],C12))</f>
        <v>0</v>
      </c>
    </row>
    <row r="13" spans="1:11">
      <c r="A13" s="1885"/>
      <c r="B13" s="1884"/>
      <c r="C13" s="1578">
        <v>20</v>
      </c>
      <c r="D13" s="1578" t="s">
        <v>49</v>
      </c>
      <c r="E13" s="1696">
        <f>Resultado!D23</f>
        <v>0</v>
      </c>
      <c r="F13" s="1696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696">
        <f>(SUMIFS(Financeiros[Valor],Financeiros[iddet1],19,Financeiros[iddet2],60,Financeiros[id_Detalhe_Grupo_TARIFA],C13))</f>
        <v>0</v>
      </c>
    </row>
    <row r="14" spans="1:11">
      <c r="A14" s="1885"/>
      <c r="B14" s="1884"/>
      <c r="C14" s="1578">
        <v>13</v>
      </c>
      <c r="D14" s="1578" t="s">
        <v>39</v>
      </c>
      <c r="E14" s="1696">
        <f>Resultado!D16</f>
        <v>0</v>
      </c>
      <c r="F14" s="1696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696">
        <f>(SUMIFS(Financeiros[Valor],Financeiros[iddet1],19,Financeiros[iddet2],60,Financeiros[id_Detalhe_Grupo_TARIFA],C14))</f>
        <v>0</v>
      </c>
    </row>
    <row r="15" spans="1:11">
      <c r="A15" s="1885"/>
      <c r="B15" s="1884"/>
      <c r="C15" s="1578">
        <v>15</v>
      </c>
      <c r="D15" s="1578" t="s">
        <v>41</v>
      </c>
      <c r="E15" s="1696">
        <f ca="1">Encargos!I19</f>
        <v>1447102.0752100002</v>
      </c>
      <c r="F15" s="1696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-95422.930034866673</v>
      </c>
      <c r="G15" s="1696">
        <f>(SUMIFS(Financeiros[Valor],Financeiros[iddet1],19,Financeiros[iddet2],60,Financeiros[id_Detalhe_Grupo_TARIFA],C15))</f>
        <v>0</v>
      </c>
    </row>
    <row r="16" spans="1:11">
      <c r="A16" s="1885"/>
      <c r="B16" s="1884"/>
      <c r="C16" s="1578">
        <v>18</v>
      </c>
      <c r="D16" s="1578" t="s">
        <v>47</v>
      </c>
      <c r="E16" s="1696">
        <f ca="1">Resultado!D21</f>
        <v>254288.34072000007</v>
      </c>
      <c r="F16" s="1696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-17322.630753886519</v>
      </c>
      <c r="G16" s="1696">
        <f>(SUMIFS(Financeiros[Valor],Financeiros[iddet1],19,Financeiros[iddet2],60,Financeiros[id_Detalhe_Grupo_TARIFA],C16))</f>
        <v>0</v>
      </c>
    </row>
    <row r="17" spans="1:7">
      <c r="A17" s="1885"/>
      <c r="B17" s="1884"/>
      <c r="C17" s="1578"/>
      <c r="D17" s="1578" t="s">
        <v>2204</v>
      </c>
      <c r="E17" s="1696">
        <v>0</v>
      </c>
      <c r="F17" s="1696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696">
        <v>0</v>
      </c>
    </row>
    <row r="18" spans="1:7">
      <c r="A18" s="1885"/>
      <c r="B18" s="1884"/>
      <c r="C18" s="1578"/>
      <c r="D18" s="1679" t="s">
        <v>2205</v>
      </c>
      <c r="E18" s="1696">
        <f ca="1">SUM(E10:E17)</f>
        <v>1714247.5040269082</v>
      </c>
      <c r="F18" s="1696">
        <f t="shared" ref="F18:G18" ca="1" si="0">SUM(F10:F17)</f>
        <v>-113795.45663428237</v>
      </c>
      <c r="G18" s="1696">
        <f t="shared" si="0"/>
        <v>0</v>
      </c>
    </row>
    <row r="19" spans="1:7">
      <c r="A19" s="1885"/>
      <c r="B19" s="1884" t="s">
        <v>2206</v>
      </c>
      <c r="C19" s="1578">
        <v>1</v>
      </c>
      <c r="D19" s="1578" t="s">
        <v>2207</v>
      </c>
      <c r="E19" s="1696">
        <f>Resultado!D25</f>
        <v>0</v>
      </c>
      <c r="F19" s="1696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696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85"/>
      <c r="B20" s="1884"/>
      <c r="C20" s="1578">
        <v>2</v>
      </c>
      <c r="D20" s="1578" t="s">
        <v>2208</v>
      </c>
      <c r="E20" s="1696">
        <f>Resultado!D26</f>
        <v>0</v>
      </c>
      <c r="F20" s="1696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696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85"/>
      <c r="B21" s="1884"/>
      <c r="C21" s="1578">
        <v>3</v>
      </c>
      <c r="D21" s="1578" t="s">
        <v>2209</v>
      </c>
      <c r="E21" s="1696">
        <f>Resultado!D31</f>
        <v>0</v>
      </c>
      <c r="F21" s="1696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696">
        <f>(SUMIFS(Financeiros[Valor],Financeiros[iddet1],19,Financeiros[iddet2],60,Financeiros[id_Detalhe_Grupo_TARIFA],C21))</f>
        <v>0</v>
      </c>
    </row>
    <row r="22" spans="1:7">
      <c r="A22" s="1885"/>
      <c r="B22" s="1884"/>
      <c r="C22" s="1578">
        <v>4</v>
      </c>
      <c r="D22" s="1578" t="s">
        <v>2210</v>
      </c>
      <c r="E22" s="1696">
        <f>0</f>
        <v>0</v>
      </c>
      <c r="F22" s="1696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696">
        <f>(SUMIFS(Financeiros[Valor],Financeiros[iddet1],19,Financeiros[iddet2],60,Financeiros[id_Detalhe_Grupo_TARIFA],C22))</f>
        <v>0</v>
      </c>
    </row>
    <row r="23" spans="1:7">
      <c r="A23" s="1885"/>
      <c r="B23" s="1884"/>
      <c r="C23" s="1578">
        <v>7</v>
      </c>
      <c r="D23" s="1578" t="s">
        <v>952</v>
      </c>
      <c r="E23" s="1696">
        <f>Resultado!D32</f>
        <v>1881904.5259199997</v>
      </c>
      <c r="F23" s="1696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31119.052103736372</v>
      </c>
      <c r="G23" s="1696">
        <f>(SUMIFS(Financeiros[Valor],Financeiros[iddet1],19,Financeiros[iddet2],60,Financeiros[id_Detalhe_Grupo_TARIFA],C23))</f>
        <v>0</v>
      </c>
    </row>
    <row r="24" spans="1:7">
      <c r="A24" s="1885"/>
      <c r="B24" s="1884"/>
      <c r="C24" s="1578">
        <v>6</v>
      </c>
      <c r="D24" s="1578" t="s">
        <v>2211</v>
      </c>
      <c r="E24" s="1696">
        <f>Resultado!D28</f>
        <v>0</v>
      </c>
      <c r="F24" s="1696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696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85"/>
      <c r="B25" s="1884"/>
      <c r="C25" s="1578">
        <v>5</v>
      </c>
      <c r="D25" s="1578" t="s">
        <v>2212</v>
      </c>
      <c r="E25" s="1696">
        <f>Resultado!D27</f>
        <v>0</v>
      </c>
      <c r="F25" s="1696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696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85"/>
      <c r="B26" s="1884"/>
      <c r="C26" s="1578"/>
      <c r="D26" s="1679" t="s">
        <v>2205</v>
      </c>
      <c r="E26" s="1696">
        <f>SUM(E19:E25)</f>
        <v>1881904.5259199997</v>
      </c>
      <c r="F26" s="1696">
        <f t="shared" ref="F26:G26" si="1">SUM(F19:F25)</f>
        <v>31119.052103736372</v>
      </c>
      <c r="G26" s="1696">
        <f t="shared" si="1"/>
        <v>0</v>
      </c>
    </row>
    <row r="27" spans="1:7">
      <c r="A27" s="1885"/>
      <c r="B27" s="1884" t="s">
        <v>2213</v>
      </c>
      <c r="C27" s="1578">
        <v>999</v>
      </c>
      <c r="D27" s="1578" t="s">
        <v>953</v>
      </c>
      <c r="E27" s="1696">
        <f>LnkTXTIParcelaBcomSub</f>
        <v>2890068.7</v>
      </c>
      <c r="F27" s="1696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-1494125.1525960967</v>
      </c>
      <c r="G27" s="1696">
        <v>0</v>
      </c>
    </row>
    <row r="28" spans="1:7">
      <c r="A28" s="1885"/>
      <c r="B28" s="1884"/>
      <c r="C28" s="1578"/>
      <c r="D28" s="1679" t="s">
        <v>2205</v>
      </c>
      <c r="E28" s="1696">
        <f>SUM(E27)</f>
        <v>2890068.7</v>
      </c>
      <c r="F28" s="1696">
        <f t="shared" ref="F28:G28" ca="1" si="2">SUM(F27)</f>
        <v>-1494125.1525960967</v>
      </c>
      <c r="G28" s="1696">
        <f t="shared" si="2"/>
        <v>0</v>
      </c>
    </row>
    <row r="29" spans="1:7">
      <c r="A29" s="1885"/>
      <c r="B29" s="1884" t="s">
        <v>2214</v>
      </c>
      <c r="C29" s="1578">
        <v>179</v>
      </c>
      <c r="D29" s="1578" t="s">
        <v>2215</v>
      </c>
      <c r="E29" s="1696">
        <v>0</v>
      </c>
      <c r="F29" s="1696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696">
        <v>0</v>
      </c>
    </row>
    <row r="30" spans="1:7">
      <c r="A30" s="1885"/>
      <c r="B30" s="1884"/>
      <c r="C30" s="1578"/>
      <c r="D30" s="1578" t="s">
        <v>949</v>
      </c>
      <c r="E30" s="1696">
        <v>0</v>
      </c>
      <c r="F30" s="1696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696">
        <v>0</v>
      </c>
    </row>
    <row r="31" spans="1:7">
      <c r="A31" s="1885"/>
      <c r="B31" s="1884"/>
      <c r="C31" s="1578"/>
      <c r="D31" s="1679" t="s">
        <v>2205</v>
      </c>
      <c r="E31" s="1696">
        <f>SUM(E29:E30)</f>
        <v>0</v>
      </c>
      <c r="F31" s="1696">
        <f t="shared" ref="F31:G31" ca="1" si="3">SUM(F29:F30)</f>
        <v>0</v>
      </c>
      <c r="G31" s="1696">
        <f t="shared" si="3"/>
        <v>0</v>
      </c>
    </row>
    <row r="32" spans="1:7">
      <c r="A32" s="1885"/>
      <c r="B32" s="1884" t="s">
        <v>2216</v>
      </c>
      <c r="C32" s="1578">
        <v>8</v>
      </c>
      <c r="D32" s="1578" t="s">
        <v>2217</v>
      </c>
      <c r="E32" s="1696">
        <f ca="1">Energia!D11*Energia!D14</f>
        <v>185892.36805644623</v>
      </c>
      <c r="F32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13331.837922066195</v>
      </c>
      <c r="G32" s="1696">
        <f>(SUMIFS(Financeiros[Valor],Financeiros[iddet1],19,Financeiros[iddet2],60,Financeiros[id_Detalhe_Grupo_TARIFA],C32))</f>
        <v>0</v>
      </c>
    </row>
    <row r="33" spans="1:7">
      <c r="A33" s="1885"/>
      <c r="B33" s="1884"/>
      <c r="C33" s="1578">
        <v>10</v>
      </c>
      <c r="D33" s="1578" t="s">
        <v>2218</v>
      </c>
      <c r="E33" s="1696">
        <f ca="1">Energia!D12*Energia!D14</f>
        <v>0</v>
      </c>
      <c r="F33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696">
        <f>(SUMIFS(Financeiros[Valor],Financeiros[iddet1],19,Financeiros[iddet2],60,Financeiros[id_Detalhe_Grupo_TARIFA],C33))</f>
        <v>0</v>
      </c>
    </row>
    <row r="34" spans="1:7">
      <c r="A34" s="1885"/>
      <c r="B34" s="1884"/>
      <c r="C34" s="1578">
        <v>9</v>
      </c>
      <c r="D34" s="1578" t="s">
        <v>2219</v>
      </c>
      <c r="E34" s="1696">
        <f ca="1">Energia!D10*Energia!D14</f>
        <v>0</v>
      </c>
      <c r="F34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696">
        <f>(SUMIFS(Financeiros[Valor],Financeiros[iddet1],19,Financeiros[iddet2],60,Financeiros[id_Detalhe_Grupo_TARIFA],C34))</f>
        <v>0</v>
      </c>
    </row>
    <row r="35" spans="1:7">
      <c r="A35" s="1885"/>
      <c r="B35" s="1884"/>
      <c r="C35" s="1578">
        <v>999</v>
      </c>
      <c r="D35" s="1578" t="s">
        <v>989</v>
      </c>
      <c r="E35" s="1696"/>
      <c r="F35" s="1696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696">
        <f>(SUMIFS(Financeiros[Valor],Financeiros[iddet1],19,Financeiros[iddet2],60,Financeiros[id_Detalhe_Grupo_TARIFA],C35))</f>
        <v>0</v>
      </c>
    </row>
    <row r="36" spans="1:7">
      <c r="A36" s="1885"/>
      <c r="B36" s="1884"/>
      <c r="C36" s="1578"/>
      <c r="D36" s="1679" t="s">
        <v>2205</v>
      </c>
      <c r="E36" s="1696">
        <f ca="1">SUM(E32:E35)</f>
        <v>185892.36805644623</v>
      </c>
      <c r="F36" s="1696">
        <f t="shared" ref="F36:G36" ca="1" si="4">SUM(F32:F35)</f>
        <v>13331.837922066195</v>
      </c>
      <c r="G36" s="1696">
        <f t="shared" si="4"/>
        <v>0</v>
      </c>
    </row>
    <row r="37" spans="1:7">
      <c r="A37" s="1885"/>
      <c r="B37" s="1886" t="s">
        <v>2205</v>
      </c>
      <c r="C37" s="1886"/>
      <c r="D37" s="1886"/>
      <c r="E37" s="1696">
        <f ca="1">SUM(E18,E26,E28,E36,E31)</f>
        <v>6672113.0980033539</v>
      </c>
      <c r="F37" s="1696">
        <f ca="1">SUM(F18,F26,F28,F36,F31)</f>
        <v>-1563469.7192045765</v>
      </c>
      <c r="G37" s="1696">
        <f>SUM(G18,G26,G28,G36,G31)</f>
        <v>0</v>
      </c>
    </row>
    <row r="38" spans="1:7">
      <c r="A38" s="1884" t="s">
        <v>971</v>
      </c>
      <c r="B38" s="1884" t="s">
        <v>2076</v>
      </c>
      <c r="C38" s="1578">
        <v>19</v>
      </c>
      <c r="D38" s="1578" t="s">
        <v>48</v>
      </c>
      <c r="E38" s="1696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696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696">
        <f>(SUMIFS(Financeiros[Valor],Financeiros[iddet1],19,Financeiros[iddet2],60,Financeiros[id_Detalhe_Grupo_TARIFA],C38))</f>
        <v>0</v>
      </c>
    </row>
    <row r="39" spans="1:7">
      <c r="A39" s="1885"/>
      <c r="B39" s="1884"/>
      <c r="C39" s="1578">
        <v>17</v>
      </c>
      <c r="D39" s="1578" t="s">
        <v>46</v>
      </c>
      <c r="E39" s="1696">
        <f>Encargos!C9</f>
        <v>286370.12</v>
      </c>
      <c r="F39" s="1696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696">
        <f>(SUMIFS(Financeiros[Valor],Financeiros[iddet1],19,Financeiros[iddet2],60,Financeiros[id_Detalhe_Grupo_TARIFA],C39))</f>
        <v>0</v>
      </c>
    </row>
    <row r="40" spans="1:7">
      <c r="A40" s="1885"/>
      <c r="B40" s="1884"/>
      <c r="C40" s="1578">
        <v>16</v>
      </c>
      <c r="D40" s="1578" t="s">
        <v>112</v>
      </c>
      <c r="E40" s="1696">
        <f>Encargos!C8</f>
        <v>0</v>
      </c>
      <c r="F40" s="1696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696">
        <f>(SUMIFS(Financeiros[Valor],Financeiros[iddet1],19,Financeiros[iddet2],60,Financeiros[id_Detalhe_Grupo_TARIFA],C40))</f>
        <v>0</v>
      </c>
    </row>
    <row r="41" spans="1:7">
      <c r="A41" s="1885"/>
      <c r="B41" s="1884"/>
      <c r="C41" s="1578">
        <v>25</v>
      </c>
      <c r="D41" s="1578" t="s">
        <v>2220</v>
      </c>
      <c r="E41" s="1696">
        <v>0</v>
      </c>
      <c r="F41" s="1696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696">
        <f>(SUMIFS(Financeiros[Valor],Financeiros[iddet1],19,Financeiros[iddet2],60,Financeiros[id_Detalhe_Grupo_TARIFA],C41))</f>
        <v>0</v>
      </c>
    </row>
    <row r="42" spans="1:7">
      <c r="A42" s="1885"/>
      <c r="B42" s="1884"/>
      <c r="C42" s="1578">
        <v>28</v>
      </c>
      <c r="D42" s="1578" t="s">
        <v>2055</v>
      </c>
      <c r="E42" s="1696">
        <f>Encargos!I21</f>
        <v>0</v>
      </c>
      <c r="F42" s="1696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696">
        <f>(SUMIFS(Financeiros[Valor],Financeiros[iddet1],19,Financeiros[iddet2],60,Financeiros[id_Detalhe_Grupo_TARIFA],C42))</f>
        <v>0</v>
      </c>
    </row>
    <row r="43" spans="1:7">
      <c r="A43" s="1885"/>
      <c r="B43" s="1884"/>
      <c r="C43" s="1578"/>
      <c r="D43" s="1679" t="s">
        <v>2205</v>
      </c>
      <c r="E43" s="1696">
        <f ca="1">SUM(E38:E42)</f>
        <v>286370.12</v>
      </c>
      <c r="F43" s="1696">
        <f ca="1">SUM(F38:F42)</f>
        <v>0</v>
      </c>
      <c r="G43" s="1696">
        <f>SUM(G38:G42)</f>
        <v>0</v>
      </c>
    </row>
    <row r="44" spans="1:7">
      <c r="A44" s="1885"/>
      <c r="B44" s="1884" t="s">
        <v>2077</v>
      </c>
      <c r="C44" s="1578">
        <v>11</v>
      </c>
      <c r="D44" s="1578" t="s">
        <v>2221</v>
      </c>
      <c r="E44" s="1696">
        <f ca="1">Energia!D6*Energia!D14</f>
        <v>3436906.3383104918</v>
      </c>
      <c r="F44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246488.2164595598</v>
      </c>
      <c r="G44" s="1696">
        <f>(SUMIFS(Financeiros[Valor],Financeiros[iddet1],19,Financeiros[iddet2],60,Financeiros[id_Detalhe_Grupo_TARIFA],C44))</f>
        <v>0</v>
      </c>
    </row>
    <row r="45" spans="1:7">
      <c r="A45" s="1885"/>
      <c r="B45" s="1884"/>
      <c r="C45" s="1578"/>
      <c r="D45" s="1679" t="s">
        <v>2205</v>
      </c>
      <c r="E45" s="1696">
        <f ca="1">SUM(E44)</f>
        <v>3436906.3383104918</v>
      </c>
      <c r="F45" s="1696">
        <f ca="1">SUM(F44)</f>
        <v>246488.2164595598</v>
      </c>
      <c r="G45" s="1696">
        <f>SUM(G44)</f>
        <v>0</v>
      </c>
    </row>
    <row r="46" spans="1:7">
      <c r="A46" s="1885"/>
      <c r="B46" s="1884" t="s">
        <v>2206</v>
      </c>
      <c r="C46" s="1578">
        <v>21</v>
      </c>
      <c r="D46" s="1578" t="s">
        <v>975</v>
      </c>
      <c r="E46" s="1696">
        <f>Resultado!D29</f>
        <v>0</v>
      </c>
      <c r="F46" s="1696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696">
        <f>(SUMIFS(Financeiros[Valor],Financeiros[iddet1],19,Financeiros[iddet2],60,Financeiros[id_Detalhe_Grupo_TARIFA],C46))</f>
        <v>0</v>
      </c>
    </row>
    <row r="47" spans="1:7">
      <c r="A47" s="1885"/>
      <c r="B47" s="1884"/>
      <c r="C47" s="1578">
        <v>23</v>
      </c>
      <c r="D47" s="1578" t="s">
        <v>2222</v>
      </c>
      <c r="E47" s="1696">
        <f>Resultado!D30</f>
        <v>0</v>
      </c>
      <c r="F47" s="1696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696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85"/>
      <c r="B48" s="1884"/>
      <c r="C48" s="1578">
        <v>22</v>
      </c>
      <c r="D48" s="1578" t="s">
        <v>2223</v>
      </c>
      <c r="E48" s="1696">
        <f>0</f>
        <v>0</v>
      </c>
      <c r="F48" s="1696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696">
        <f>(SUMIFS(Financeiros[Valor],Financeiros[iddet1],19,Financeiros[iddet2],60,Financeiros[id_Detalhe_Grupo_TARIFA],C48))</f>
        <v>0</v>
      </c>
    </row>
    <row r="49" spans="1:7">
      <c r="A49" s="1885"/>
      <c r="B49" s="1884"/>
      <c r="C49" s="1578"/>
      <c r="D49" s="1679" t="s">
        <v>2205</v>
      </c>
      <c r="E49" s="1696">
        <f>SUM(E46:E48)</f>
        <v>0</v>
      </c>
      <c r="F49" s="1696">
        <f>SUM(F46:F48)</f>
        <v>0</v>
      </c>
      <c r="G49" s="1696">
        <f>SUM(G46:G48)</f>
        <v>0</v>
      </c>
    </row>
    <row r="50" spans="1:7">
      <c r="A50" s="1885"/>
      <c r="B50" s="1884" t="s">
        <v>2214</v>
      </c>
      <c r="C50" s="1578">
        <v>179</v>
      </c>
      <c r="D50" s="1578" t="s">
        <v>2215</v>
      </c>
      <c r="E50" s="1696">
        <v>0</v>
      </c>
      <c r="F50" s="1696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696">
        <f>SUMIFS(Financeiros[Valor],Financeiros[iddet1],19,Financeiros[iddet2],60,Financeiros[id_Detalhe_Grupo_TARIFA],C50)</f>
        <v>0</v>
      </c>
    </row>
    <row r="51" spans="1:7">
      <c r="A51" s="1885"/>
      <c r="B51" s="1884"/>
      <c r="C51" s="1578"/>
      <c r="D51" s="1578" t="s">
        <v>2205</v>
      </c>
      <c r="E51" s="1696">
        <f>SUM(E50)</f>
        <v>0</v>
      </c>
      <c r="F51" s="1696">
        <f ca="1">SUM(F50)</f>
        <v>0</v>
      </c>
      <c r="G51" s="1696">
        <f>SUM(G50)</f>
        <v>0</v>
      </c>
    </row>
    <row r="52" spans="1:7">
      <c r="A52" s="1885"/>
      <c r="B52" s="1884" t="s">
        <v>2216</v>
      </c>
      <c r="C52" s="1578">
        <v>24</v>
      </c>
      <c r="D52" s="1578" t="s">
        <v>2224</v>
      </c>
      <c r="E52" s="1696">
        <f ca="1">Energia!D13*Energia!D14</f>
        <v>0</v>
      </c>
      <c r="F52" s="1696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696">
        <f>(SUMIFS(Financeiros[Valor],Financeiros[iddet1],19,Financeiros[iddet2],60,Financeiros[id_Detalhe_Grupo_TARIFA],C52))</f>
        <v>0</v>
      </c>
    </row>
    <row r="53" spans="1:7">
      <c r="A53" s="1885"/>
      <c r="B53" s="1884"/>
      <c r="C53" s="1578"/>
      <c r="D53" s="1679" t="s">
        <v>2205</v>
      </c>
      <c r="E53" s="1696">
        <f ca="1">SUM(E52)</f>
        <v>0</v>
      </c>
      <c r="F53" s="1696">
        <f t="shared" ref="F53:G53" ca="1" si="5">SUM(F52)</f>
        <v>0</v>
      </c>
      <c r="G53" s="1696">
        <f t="shared" si="5"/>
        <v>0</v>
      </c>
    </row>
    <row r="54" spans="1:7">
      <c r="A54" s="1885"/>
      <c r="B54" s="1886" t="s">
        <v>2205</v>
      </c>
      <c r="C54" s="1886"/>
      <c r="D54" s="1886"/>
      <c r="E54" s="1696">
        <f ca="1">SUM(E43,E45,E49,E53,E51)</f>
        <v>3723276.4583104919</v>
      </c>
      <c r="F54" s="1696">
        <f t="shared" ref="F54:G54" ca="1" si="6">SUM(F43,F45,F49,F53,F51)</f>
        <v>246488.2164595598</v>
      </c>
      <c r="G54" s="1696">
        <f t="shared" si="6"/>
        <v>0</v>
      </c>
    </row>
    <row r="55" spans="1:7">
      <c r="A55" s="1884" t="s">
        <v>760</v>
      </c>
      <c r="B55" s="1884"/>
      <c r="C55" s="1884"/>
      <c r="D55" s="1884"/>
      <c r="E55" s="1696">
        <f ca="1">E37+E54</f>
        <v>10395389.556313846</v>
      </c>
      <c r="F55" s="1696">
        <f t="shared" ref="F55:G55" ca="1" si="7">F37+F54</f>
        <v>-1316981.5027450167</v>
      </c>
      <c r="G55" s="1696">
        <f t="shared" si="7"/>
        <v>0</v>
      </c>
    </row>
    <row r="56" spans="1:7">
      <c r="E56" s="1697"/>
      <c r="F56" s="1697"/>
      <c r="G56" s="1697"/>
    </row>
    <row r="57" spans="1:7">
      <c r="D57" s="1679" t="s">
        <v>2280</v>
      </c>
      <c r="E57" s="1696">
        <f ca="1">Resultado!C5</f>
        <v>10395389.556313846</v>
      </c>
      <c r="F57" s="1696">
        <f ca="1">(SUMIFS(Financeiros[Valor],Financeiros[iddet1],20)+SUMIFS(Financeiros[Valor],Financeiros[iddet1],22)+SUMIFS(Financeiros[Valor],Financeiros[iddet1],19,Financeiros[iddet2],64))</f>
        <v>-1316981.5027450167</v>
      </c>
      <c r="G57" s="1696">
        <f>(SUMIFS(Financeiros[Valor],Financeiros[iddet1],19,Financeiros[iddet2],60))</f>
        <v>0</v>
      </c>
    </row>
    <row r="58" spans="1:7">
      <c r="D58" s="1679" t="s">
        <v>2225</v>
      </c>
      <c r="E58" s="1696" t="str">
        <f ca="1">IF(ABS(E55-E57)&gt;1,"verificar sparta","ok")</f>
        <v>ok</v>
      </c>
      <c r="F58" s="1696" t="str">
        <f t="shared" ref="F58" ca="1" si="8">IF(ABS(F55-F57)&gt;1,"verificar sparta","ok")</f>
        <v>ok</v>
      </c>
      <c r="G58" s="1696" t="str">
        <f>IF(ABS(G55-G57)&gt;1,"verificar sparta","ok")</f>
        <v>ok</v>
      </c>
    </row>
    <row r="59" spans="1:7">
      <c r="E59" s="1697"/>
      <c r="F59" s="1697"/>
      <c r="G59" s="1697"/>
    </row>
    <row r="60" spans="1:7">
      <c r="D60" s="1679" t="s">
        <v>2226</v>
      </c>
      <c r="E60" s="1696">
        <f ca="1">SUMIFS(TabelaBadNet[valor],TabelaBadNet[id_Natureza_dado],2,TabelaBadNet[id_Detalhe_Natureza],1,TabelaBadNet[id_Unidade],3,TabelaBadNet[idDet1],51)</f>
        <v>10395389.556313846</v>
      </c>
      <c r="F60" s="1696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-1316981.5027450167</v>
      </c>
      <c r="G60" s="1696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79" t="s">
        <v>2225</v>
      </c>
      <c r="E61" s="1696" t="str">
        <f ca="1">IF(ABS(E60-E55)&gt;1,"verificar badnet","ok")</f>
        <v>ok</v>
      </c>
      <c r="F61" s="1696" t="str">
        <f t="shared" ref="F61:G61" ca="1" si="9">IF(ABS(F60-F55)&gt;1,"verificar badnet","ok")</f>
        <v>ok</v>
      </c>
      <c r="G61" s="1696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H1" zoomScaleNormal="100" workbookViewId="0">
      <selection activeCell="C1" sqref="C1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1387</v>
      </c>
      <c r="B1" t="s">
        <v>1405</v>
      </c>
      <c r="C1" t="s">
        <v>22</v>
      </c>
      <c r="D1" t="s">
        <v>1406</v>
      </c>
      <c r="E1" t="s">
        <v>1407</v>
      </c>
      <c r="F1" t="s">
        <v>1408</v>
      </c>
      <c r="G1" t="s">
        <v>1409</v>
      </c>
      <c r="H1" t="s">
        <v>1410</v>
      </c>
      <c r="I1" t="s">
        <v>1286</v>
      </c>
      <c r="J1" t="s">
        <v>1287</v>
      </c>
      <c r="K1" t="s">
        <v>1288</v>
      </c>
      <c r="L1" t="s">
        <v>1411</v>
      </c>
      <c r="M1" t="s">
        <v>1412</v>
      </c>
      <c r="N1" t="s">
        <v>1413</v>
      </c>
      <c r="O1" t="s">
        <v>1414</v>
      </c>
      <c r="P1" t="s">
        <v>1415</v>
      </c>
      <c r="Q1" t="s">
        <v>1416</v>
      </c>
    </row>
    <row r="2" spans="1:17" s="13" customFormat="1" ht="15.75">
      <c r="A2" t="s">
        <v>696</v>
      </c>
      <c r="B2" t="s">
        <v>1417</v>
      </c>
      <c r="C2" t="s">
        <v>1401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1417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1417</v>
      </c>
      <c r="C4" t="s">
        <v>1401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1417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-0.10630000000000001</v>
      </c>
      <c r="Q6" s="232">
        <f ca="1">Resultado!C7</f>
        <v>-0.10630000000000001</v>
      </c>
    </row>
    <row r="7" spans="1:17" s="13" customFormat="1" ht="15.75">
      <c r="A7" t="s">
        <v>696</v>
      </c>
      <c r="B7" t="s">
        <v>1417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-0.1132</v>
      </c>
      <c r="Q7" s="232">
        <f ca="1">Resultado!C8</f>
        <v>-0.1132</v>
      </c>
    </row>
    <row r="8" spans="1:17" s="13" customFormat="1" ht="15.75">
      <c r="A8" t="s">
        <v>696</v>
      </c>
      <c r="B8" t="s">
        <v>1417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-0.2195</v>
      </c>
      <c r="Q8" s="232">
        <f ca="1">Resultado!C9</f>
        <v>-0.2195</v>
      </c>
    </row>
    <row r="9" spans="1:17" s="13" customFormat="1" ht="15.75">
      <c r="A9" t="s">
        <v>696</v>
      </c>
      <c r="B9" t="s">
        <v>1417</v>
      </c>
      <c r="C9" t="s">
        <v>1418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0.25042181304037453</v>
      </c>
      <c r="Q9" s="232">
        <f ca="1">IF(ISERROR(LnkTXTICMS),0,LnkTXTICMS)</f>
        <v>0.25042181304037453</v>
      </c>
    </row>
    <row r="10" spans="1:17" s="13" customFormat="1" ht="15.75">
      <c r="A10" t="s">
        <v>696</v>
      </c>
      <c r="B10" t="s">
        <v>1417</v>
      </c>
      <c r="C10" t="s">
        <v>1419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4.4704951504609166E-6</v>
      </c>
      <c r="Q10" s="232">
        <f ca="1">IF(ISERROR(LNKTXTPercPISCOFINS),0,LNKTXTPercPISCOFINS)</f>
        <v>4.4704951504609166E-6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12857.088096908077</v>
      </c>
      <c r="Q13" s="232">
        <f ca="1">Resultado!D17</f>
        <v>12857.088096908077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1447102.0752100002</v>
      </c>
      <c r="Q14" s="232">
        <f ca="1">Encargos!I19</f>
        <v>1447102.0752100002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286370.12</v>
      </c>
      <c r="Q16" s="232">
        <f>Resultado!D20</f>
        <v>286370.12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254288.34072000007</v>
      </c>
      <c r="Q17" s="232">
        <f ca="1">Resultado!D21</f>
        <v>254288.34072000007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1881904.5259199997</v>
      </c>
      <c r="Q21" s="232">
        <f>Q22/(1-Q20)</f>
        <v>1881904.5259199997</v>
      </c>
    </row>
    <row r="22" spans="1:17" ht="15.75">
      <c r="A22" t="s">
        <v>696</v>
      </c>
      <c r="B22" t="s">
        <v>717</v>
      </c>
      <c r="C22" t="s">
        <v>1422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1881904.5259199997</v>
      </c>
      <c r="Q22" s="232">
        <f>CUSD!C3</f>
        <v>1881904.5259199997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1427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18985.092507623318</v>
      </c>
      <c r="Q31" s="232">
        <f ca="1">Energia!D5</f>
        <v>18985.092507623318</v>
      </c>
    </row>
    <row r="32" spans="1:17" ht="15.75">
      <c r="A32" t="s">
        <v>696</v>
      </c>
      <c r="B32" t="s">
        <v>108</v>
      </c>
      <c r="C32" t="s">
        <v>1428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974.15950762331363</v>
      </c>
      <c r="Q32" s="232">
        <f ca="1">Energia!N17</f>
        <v>974.15950762331363</v>
      </c>
    </row>
    <row r="33" spans="1:17" ht="15.75">
      <c r="A33" t="s">
        <v>696</v>
      </c>
      <c r="B33" t="s">
        <v>108</v>
      </c>
      <c r="C33" t="s">
        <v>1429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5.1311812530391798E-2</v>
      </c>
      <c r="Q36" s="232">
        <f ca="1">Energia!N14</f>
        <v>5.1311812530391798E-2</v>
      </c>
    </row>
    <row r="37" spans="1:17" s="12" customFormat="1" ht="15.75">
      <c r="A37" t="s">
        <v>696</v>
      </c>
      <c r="B37" t="s">
        <v>108</v>
      </c>
      <c r="C37" t="s">
        <v>1433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3622798.7063669376</v>
      </c>
      <c r="Q39" s="232">
        <f ca="1">Energia!D15</f>
        <v>3622798.7063669376</v>
      </c>
    </row>
    <row r="40" spans="1:17" ht="15.75">
      <c r="A40" t="s">
        <v>695</v>
      </c>
      <c r="B40" t="s">
        <v>108</v>
      </c>
      <c r="C40" t="s">
        <v>1436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190.82333704258912</v>
      </c>
      <c r="Q40" s="232">
        <f ca="1">Energia!D14</f>
        <v>190.82333704258912</v>
      </c>
    </row>
    <row r="41" spans="1:17" ht="15.75">
      <c r="A41" t="s">
        <v>695</v>
      </c>
      <c r="B41" t="s">
        <v>108</v>
      </c>
      <c r="C41" t="s">
        <v>1437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266.3712037912012</v>
      </c>
      <c r="Q41" s="232">
        <f>Energia!C20</f>
        <v>266.3712037912012</v>
      </c>
    </row>
    <row r="42" spans="1:17" ht="15.75">
      <c r="A42" t="s">
        <v>696</v>
      </c>
      <c r="B42" t="s">
        <v>108</v>
      </c>
      <c r="C42" t="s">
        <v>1438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15898.256945877018</v>
      </c>
      <c r="Q42" s="232">
        <f ca="1">Energia!C23</f>
        <v>15898.256945877018</v>
      </c>
    </row>
    <row r="43" spans="1:17" ht="15.75">
      <c r="A43" t="s">
        <v>696</v>
      </c>
      <c r="B43" t="s">
        <v>108</v>
      </c>
      <c r="C43" s="9" t="s">
        <v>1439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3466910.2612976036</v>
      </c>
      <c r="Q43" s="232">
        <f ca="1">Energia!F23</f>
        <v>3466910.2612976036</v>
      </c>
    </row>
    <row r="44" spans="1:17" s="12" customFormat="1" ht="15.75">
      <c r="A44" t="s">
        <v>696</v>
      </c>
      <c r="B44" t="s">
        <v>108</v>
      </c>
      <c r="C44" t="s">
        <v>1440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696</v>
      </c>
      <c r="B48" t="s">
        <v>108</v>
      </c>
      <c r="C48" s="9" t="s">
        <v>1443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18010.933000000005</v>
      </c>
      <c r="Q52" s="232">
        <f ca="1">FornecimentoE</f>
        <v>18010.933000000005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1448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1449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11257.611000000003</v>
      </c>
      <c r="Q62" s="232">
        <f ca="1">Calc_Mercado!C13</f>
        <v>11257.611000000003</v>
      </c>
    </row>
    <row r="63" spans="1:17" s="12" customFormat="1" ht="15.75">
      <c r="A63" t="s">
        <v>696</v>
      </c>
      <c r="B63" t="s">
        <v>895</v>
      </c>
      <c r="C63" t="s">
        <v>1452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6753.3220000000001</v>
      </c>
      <c r="Q64" s="232">
        <f ca="1">FornecimentoE_BT</f>
        <v>6753.3220000000001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11631707.531150002</v>
      </c>
      <c r="Q65" s="232">
        <f ca="1">Calc_Mercado!D8</f>
        <v>11631707.531150002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1448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1449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7030864.2179500004</v>
      </c>
      <c r="Q75" s="232">
        <f ca="1">Calc_Mercado!D13</f>
        <v>7030864.2179500004</v>
      </c>
    </row>
    <row r="76" spans="1:17" ht="15.75">
      <c r="A76" t="s">
        <v>696</v>
      </c>
      <c r="B76" t="s">
        <v>895</v>
      </c>
      <c r="C76" t="s">
        <v>1452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4600843.3132000007</v>
      </c>
      <c r="Q77" s="232">
        <f ca="1">Calc_Mercado!D15</f>
        <v>4600843.3132000007</v>
      </c>
    </row>
    <row r="78" spans="1:17" ht="15.75">
      <c r="A78" t="s">
        <v>696</v>
      </c>
      <c r="B78" t="s">
        <v>895</v>
      </c>
      <c r="C78" t="s">
        <v>1454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18010.933000000005</v>
      </c>
      <c r="Q80" s="232">
        <f ca="1">LnkTXTEV</f>
        <v>18010.933000000005</v>
      </c>
    </row>
    <row r="81" spans="1:17" ht="15.75">
      <c r="A81" t="s">
        <v>696</v>
      </c>
      <c r="B81" t="s">
        <v>104</v>
      </c>
      <c r="C81" t="s">
        <v>1457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2890068.7</v>
      </c>
      <c r="Q81" s="232">
        <f>Resultado!D39</f>
        <v>2890068.7</v>
      </c>
    </row>
    <row r="82" spans="1:17" ht="15.75">
      <c r="A82" t="s">
        <v>696</v>
      </c>
      <c r="B82" t="s">
        <v>72</v>
      </c>
      <c r="C82" t="s">
        <v>1458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1459</v>
      </c>
      <c r="B83" t="s">
        <v>1460</v>
      </c>
      <c r="C83" t="s">
        <v>1461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1459</v>
      </c>
      <c r="B84" t="s">
        <v>1460</v>
      </c>
      <c r="C84" t="s">
        <v>1462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1459</v>
      </c>
      <c r="B85" t="s">
        <v>1460</v>
      </c>
      <c r="C85" t="s">
        <v>1463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1464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18985.092507623318</v>
      </c>
      <c r="Q87" s="232">
        <f ca="1">Energia!D5</f>
        <v>18985.092507623318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3622798.7063669376</v>
      </c>
      <c r="Q88" s="232">
        <f ca="1">Energia!D15</f>
        <v>3622798.7063669376</v>
      </c>
    </row>
    <row r="89" spans="1:17" ht="15.75">
      <c r="A89" s="16" t="s">
        <v>696</v>
      </c>
      <c r="B89" s="16" t="s">
        <v>1465</v>
      </c>
      <c r="C89" s="16" t="s">
        <v>1466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7505320.8563138461</v>
      </c>
      <c r="Q89" s="232">
        <f ca="1">Resultado!D34</f>
        <v>7505320.8563138461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2890068.7</v>
      </c>
      <c r="Q90" s="232">
        <f>Resultado!D39</f>
        <v>2890068.7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2000617.6240269083</v>
      </c>
      <c r="Q91" s="232">
        <f ca="1">Resultado!D14</f>
        <v>2000617.6240269083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1881904.5259199997</v>
      </c>
      <c r="Q92" s="232">
        <f>Resultado!D24</f>
        <v>1881904.5259199997</v>
      </c>
    </row>
    <row r="93" spans="1:17" ht="15.75">
      <c r="A93" s="16" t="s">
        <v>696</v>
      </c>
      <c r="B93" s="16" t="s">
        <v>1465</v>
      </c>
      <c r="C93" s="16" t="s">
        <v>1467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10395389.556313846</v>
      </c>
      <c r="Q93" s="232">
        <f ca="1">Resultado!C5</f>
        <v>10395389.556313846</v>
      </c>
    </row>
    <row r="94" spans="1:17" ht="15.75">
      <c r="A94" s="16" t="s">
        <v>696</v>
      </c>
      <c r="B94" s="16" t="s">
        <v>108</v>
      </c>
      <c r="C94" s="16" t="s">
        <v>1468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1469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5601476.3360112496</v>
      </c>
      <c r="Q96" s="232">
        <f ca="1">Resultado!C33</f>
        <v>5601476.3360112496</v>
      </c>
    </row>
    <row r="97" spans="1:17" ht="15.75">
      <c r="A97" s="16" t="s">
        <v>695</v>
      </c>
      <c r="B97" s="16" t="s">
        <v>1465</v>
      </c>
      <c r="C97" s="16" t="s">
        <v>1470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11631707.531150002</v>
      </c>
      <c r="Q97" s="232">
        <f ca="1">Mercado_RA0_Reais</f>
        <v>11631707.531150002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-1316981.5027450165</v>
      </c>
      <c r="Q98" s="232">
        <f ca="1">Financeiros!D7</f>
        <v>-1316981.5027450165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-0.11322340242979012</v>
      </c>
      <c r="Q99" s="232">
        <f ca="1">Financeiros!E7</f>
        <v>-0.11322340242979012</v>
      </c>
    </row>
    <row r="100" spans="1:17" ht="15.75">
      <c r="A100" s="16" t="s">
        <v>696</v>
      </c>
      <c r="B100" s="16" t="s">
        <v>1471</v>
      </c>
      <c r="C100" s="16" t="s">
        <v>1472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9078408.0535688289</v>
      </c>
      <c r="Q100" s="232">
        <f ca="1">Resultado!C5+Financeiros!D7/(1+IF(Q86&gt;0,Q86,0))</f>
        <v>9078408.0535688289</v>
      </c>
    </row>
    <row r="101" spans="1:17" ht="15.75">
      <c r="A101" t="s">
        <v>696</v>
      </c>
      <c r="B101" t="s">
        <v>72</v>
      </c>
      <c r="C101" t="s">
        <v>1458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18985.092507623318</v>
      </c>
      <c r="Q102" s="232">
        <f ca="1">Energia!D5</f>
        <v>18985.092507623318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3622798.7063669376</v>
      </c>
      <c r="Q103" s="232">
        <f ca="1">Energia!D15</f>
        <v>3622798.7063669376</v>
      </c>
    </row>
    <row r="104" spans="1:17" ht="15.75">
      <c r="A104" t="s">
        <v>696</v>
      </c>
      <c r="B104" t="s">
        <v>108</v>
      </c>
      <c r="C104" t="s">
        <v>1474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974.15950762331363</v>
      </c>
      <c r="Q104" s="232">
        <f ca="1">SUM(LnkTXTPerdas)</f>
        <v>974.15950762331363</v>
      </c>
    </row>
    <row r="105" spans="1:17" ht="15.75">
      <c r="A105" s="16" t="s">
        <v>696</v>
      </c>
      <c r="B105" s="16" t="s">
        <v>1471</v>
      </c>
      <c r="C105" s="16" t="s">
        <v>1475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53173</v>
      </c>
      <c r="Q105" s="232">
        <f ca="1">SUM(INDIRECT("dados_MercadoBase[D]"))</f>
        <v>53173</v>
      </c>
    </row>
    <row r="106" spans="1:17" ht="15.75">
      <c r="A106" t="s">
        <v>696</v>
      </c>
      <c r="B106" t="s">
        <v>1471</v>
      </c>
      <c r="C106" t="s">
        <v>1476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18010.932999999994</v>
      </c>
      <c r="Q106" s="232">
        <f ca="1">SUM(INDIRECT("dados_MercadoBase[TUSD_E]"))</f>
        <v>18010.932999999994</v>
      </c>
    </row>
    <row r="107" spans="1:17" ht="15.75">
      <c r="A107" s="16" t="s">
        <v>695</v>
      </c>
      <c r="B107" s="16" t="s">
        <v>717</v>
      </c>
      <c r="C107" s="16" t="s">
        <v>1477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1423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1424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1425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1478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1471</v>
      </c>
      <c r="C113" s="16" t="s">
        <v>1479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18010.932999999994</v>
      </c>
      <c r="Q113" s="232">
        <f ca="1">SUM(INDIRECT("dados_MercadoBase[TE_E]"))</f>
        <v>18010.932999999994</v>
      </c>
    </row>
    <row r="114" spans="1:19" ht="15.75">
      <c r="A114" t="s">
        <v>696</v>
      </c>
      <c r="B114" t="s">
        <v>1480</v>
      </c>
      <c r="C114" t="s">
        <v>1481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1480</v>
      </c>
      <c r="C115" s="16" t="s">
        <v>1482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1480</v>
      </c>
      <c r="C116" t="s">
        <v>1483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2166104.23</v>
      </c>
      <c r="Q116" s="232">
        <f>CAPA!D32</f>
        <v>2166104.23</v>
      </c>
      <c r="S116" s="9"/>
    </row>
    <row r="117" spans="1:19" ht="15.75">
      <c r="A117" s="16" t="s">
        <v>696</v>
      </c>
      <c r="B117" s="16" t="s">
        <v>1480</v>
      </c>
      <c r="C117" s="16" t="s">
        <v>1484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1480</v>
      </c>
      <c r="C118" t="s">
        <v>1485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723964.47000000009</v>
      </c>
      <c r="Q118" s="232">
        <f>CAPA!D33</f>
        <v>723964.47000000009</v>
      </c>
    </row>
    <row r="119" spans="1:19" ht="15.75">
      <c r="A119" s="16" t="s">
        <v>696</v>
      </c>
      <c r="B119" s="16" t="s">
        <v>1480</v>
      </c>
      <c r="C119" s="16" t="s">
        <v>1486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2890068.7</v>
      </c>
      <c r="Q119" s="232">
        <f>Resultado!D39</f>
        <v>2890068.7</v>
      </c>
    </row>
    <row r="120" spans="1:19" ht="15.75">
      <c r="A120" t="s">
        <v>696</v>
      </c>
      <c r="B120" t="s">
        <v>1480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1471</v>
      </c>
      <c r="B121" t="s">
        <v>1487</v>
      </c>
      <c r="C121" t="s">
        <v>1488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1471</v>
      </c>
      <c r="B122" t="s">
        <v>1487</v>
      </c>
      <c r="C122" t="s">
        <v>1489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1471</v>
      </c>
      <c r="B123" t="s">
        <v>1487</v>
      </c>
      <c r="C123" t="s">
        <v>1490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1471</v>
      </c>
      <c r="B124" t="s">
        <v>1487</v>
      </c>
      <c r="C124" t="s">
        <v>1491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-3.2734399668789869</v>
      </c>
      <c r="Q124" s="232">
        <f>'Tabelas e Gráficos'!BP314</f>
        <v>-3.2734399668789869</v>
      </c>
    </row>
    <row r="125" spans="1:19" ht="15.75">
      <c r="A125" t="s">
        <v>1471</v>
      </c>
      <c r="B125" t="s">
        <v>1487</v>
      </c>
      <c r="C125" t="s">
        <v>1492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-1894.5678992950805</v>
      </c>
      <c r="Q125" s="232">
        <f>'Tabelas e Gráficos'!BP315</f>
        <v>-1894.5678992950805</v>
      </c>
    </row>
    <row r="126" spans="1:19" ht="15.75">
      <c r="A126" t="s">
        <v>1471</v>
      </c>
      <c r="B126" t="s">
        <v>1487</v>
      </c>
      <c r="C126" t="s">
        <v>1493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-7.062143909279726</v>
      </c>
      <c r="Q126" s="232">
        <f>'Tabelas e Gráficos'!BP316</f>
        <v>-7.062143909279726</v>
      </c>
    </row>
    <row r="127" spans="1:19" ht="15.75">
      <c r="A127" t="s">
        <v>1471</v>
      </c>
      <c r="B127" t="s">
        <v>1487</v>
      </c>
      <c r="C127" t="s">
        <v>1494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1471</v>
      </c>
      <c r="B128" t="s">
        <v>1487</v>
      </c>
      <c r="C128" t="s">
        <v>1495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1471</v>
      </c>
      <c r="B129" t="s">
        <v>1487</v>
      </c>
      <c r="C129" t="s">
        <v>1496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1471</v>
      </c>
      <c r="B130" t="s">
        <v>1487</v>
      </c>
      <c r="C130" t="s">
        <v>1497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9.8328052924938252</v>
      </c>
      <c r="Q130" s="232">
        <f>'Tabelas e Gráficos'!BQ314</f>
        <v>9.8328052924938252</v>
      </c>
    </row>
    <row r="131" spans="1:17" ht="15.75">
      <c r="A131" t="s">
        <v>1471</v>
      </c>
      <c r="B131" t="s">
        <v>1487</v>
      </c>
      <c r="C131" t="s">
        <v>1498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15283.095810326413</v>
      </c>
      <c r="Q131" s="232">
        <f>'Tabelas e Gráficos'!BQ315</f>
        <v>15283.095810326413</v>
      </c>
    </row>
    <row r="132" spans="1:17" ht="15.75">
      <c r="A132" t="s">
        <v>1471</v>
      </c>
      <c r="B132" t="s">
        <v>1487</v>
      </c>
      <c r="C132" t="s">
        <v>1499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1.3307676296632556</v>
      </c>
      <c r="Q132" s="232">
        <f>'Tabelas e Gráficos'!BQ316</f>
        <v>1.3307676296632556</v>
      </c>
    </row>
    <row r="133" spans="1:17" ht="15.75">
      <c r="A133" t="s">
        <v>1471</v>
      </c>
      <c r="B133" t="s">
        <v>1487</v>
      </c>
      <c r="C133" t="s">
        <v>1500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1471</v>
      </c>
      <c r="B134" t="s">
        <v>1487</v>
      </c>
      <c r="C134" t="s">
        <v>1501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1471</v>
      </c>
      <c r="B135" t="s">
        <v>1487</v>
      </c>
      <c r="C135" t="s">
        <v>1502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1471</v>
      </c>
      <c r="B136" t="s">
        <v>1487</v>
      </c>
      <c r="C136" t="s">
        <v>1503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6.5593653256148379</v>
      </c>
      <c r="Q136" s="232">
        <f>'Tabelas e Gráficos'!BR314</f>
        <v>6.5593653256148379</v>
      </c>
    </row>
    <row r="137" spans="1:17" ht="15.75">
      <c r="A137" t="s">
        <v>1471</v>
      </c>
      <c r="B137" t="s">
        <v>1487</v>
      </c>
      <c r="C137" t="s">
        <v>1504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13388.527911031333</v>
      </c>
      <c r="Q137" s="232">
        <f>'Tabelas e Gráficos'!BR315</f>
        <v>13388.527911031333</v>
      </c>
    </row>
    <row r="138" spans="1:17" ht="15.75">
      <c r="A138" t="s">
        <v>1471</v>
      </c>
      <c r="B138" t="s">
        <v>1487</v>
      </c>
      <c r="C138" t="s">
        <v>1505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-5.7313762796164704</v>
      </c>
      <c r="Q138" s="232">
        <f>'Tabelas e Gráficos'!BR316</f>
        <v>-5.7313762796164704</v>
      </c>
    </row>
    <row r="139" spans="1:17" ht="15.75">
      <c r="A139" s="844" t="s">
        <v>696</v>
      </c>
      <c r="B139" s="844" t="s">
        <v>72</v>
      </c>
      <c r="C139" s="844" t="s">
        <v>1506</v>
      </c>
      <c r="D139" s="844">
        <v>2</v>
      </c>
      <c r="E139" s="844">
        <v>1</v>
      </c>
      <c r="F139" s="844">
        <v>51</v>
      </c>
      <c r="G139" s="844">
        <v>73</v>
      </c>
      <c r="H139" s="844">
        <v>999</v>
      </c>
      <c r="I139" s="844">
        <v>3</v>
      </c>
      <c r="J139" s="844">
        <v>15</v>
      </c>
      <c r="K139" s="844">
        <v>1</v>
      </c>
      <c r="L139" s="844">
        <v>99</v>
      </c>
      <c r="M139" s="844">
        <v>9</v>
      </c>
      <c r="N139" s="844">
        <v>3</v>
      </c>
      <c r="O139" s="844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4" t="s">
        <v>696</v>
      </c>
      <c r="B140" s="844" t="s">
        <v>108</v>
      </c>
      <c r="C140" s="844" t="str">
        <f>Energia!$B$21</f>
        <v>Angra</v>
      </c>
      <c r="D140" s="844">
        <v>1</v>
      </c>
      <c r="E140" s="844">
        <v>1</v>
      </c>
      <c r="F140" s="844">
        <v>8</v>
      </c>
      <c r="G140" s="844">
        <v>999999</v>
      </c>
      <c r="H140" s="844">
        <v>999</v>
      </c>
      <c r="I140" s="844">
        <v>2</v>
      </c>
      <c r="J140" s="844">
        <v>999</v>
      </c>
      <c r="K140" s="844">
        <v>9</v>
      </c>
      <c r="L140" s="844">
        <v>99</v>
      </c>
      <c r="M140" s="844">
        <v>9</v>
      </c>
      <c r="N140" s="844">
        <v>2</v>
      </c>
      <c r="O140" s="844">
        <v>99999</v>
      </c>
      <c r="P140" s="906">
        <f t="shared" ref="P140:P147" ca="1" si="5">IF(ISNUMBER(Q140),Q140,0)</f>
        <v>446.4798655859484</v>
      </c>
      <c r="Q140" s="232">
        <f ca="1">Energia!$C$21</f>
        <v>446.4798655859484</v>
      </c>
    </row>
    <row r="141" spans="1:17" ht="15.75">
      <c r="A141" s="844" t="s">
        <v>696</v>
      </c>
      <c r="B141" s="844" t="s">
        <v>108</v>
      </c>
      <c r="C141" s="844" t="str">
        <f>Energia!B21</f>
        <v>Angra</v>
      </c>
      <c r="D141" s="844">
        <v>1</v>
      </c>
      <c r="E141" s="844">
        <v>1</v>
      </c>
      <c r="F141" s="844">
        <v>8</v>
      </c>
      <c r="G141" s="844">
        <v>999999</v>
      </c>
      <c r="H141" s="844">
        <v>999</v>
      </c>
      <c r="I141" s="844">
        <v>2</v>
      </c>
      <c r="J141" s="844">
        <v>999</v>
      </c>
      <c r="K141" s="844">
        <v>9</v>
      </c>
      <c r="L141" s="844">
        <v>99</v>
      </c>
      <c r="M141" s="844">
        <v>9</v>
      </c>
      <c r="N141" s="844">
        <v>3</v>
      </c>
      <c r="O141" s="844">
        <v>99999</v>
      </c>
      <c r="P141" s="906">
        <f t="shared" ca="1" si="5"/>
        <v>155888.44506933389</v>
      </c>
      <c r="Q141" s="232">
        <f ca="1">Energia!$F$21</f>
        <v>155888.44506933389</v>
      </c>
    </row>
    <row r="142" spans="1:17" ht="15.75">
      <c r="A142" s="844" t="s">
        <v>696</v>
      </c>
      <c r="B142" s="844" t="s">
        <v>108</v>
      </c>
      <c r="C142" s="844" t="str">
        <f>Energia!$B$22</f>
        <v>CCGF</v>
      </c>
      <c r="D142" s="844">
        <v>1</v>
      </c>
      <c r="E142" s="844">
        <v>1</v>
      </c>
      <c r="F142" s="844">
        <v>17</v>
      </c>
      <c r="G142" s="844">
        <v>999999</v>
      </c>
      <c r="H142" s="844">
        <v>999</v>
      </c>
      <c r="I142" s="844">
        <v>2</v>
      </c>
      <c r="J142" s="844">
        <v>999</v>
      </c>
      <c r="K142" s="844">
        <v>9</v>
      </c>
      <c r="L142" s="844">
        <v>99</v>
      </c>
      <c r="M142" s="844">
        <v>9</v>
      </c>
      <c r="N142" s="844">
        <v>2</v>
      </c>
      <c r="O142" s="844">
        <v>0</v>
      </c>
      <c r="P142" s="906">
        <f t="shared" ca="1" si="5"/>
        <v>2373.9844923691503</v>
      </c>
      <c r="Q142" s="232">
        <f ca="1">Energia!$C$22</f>
        <v>2373.9844923691503</v>
      </c>
    </row>
    <row r="143" spans="1:17" ht="15.75">
      <c r="A143" s="844" t="s">
        <v>696</v>
      </c>
      <c r="B143" s="844" t="s">
        <v>108</v>
      </c>
      <c r="C143" s="844" t="str">
        <f>Energia!$B$22</f>
        <v>CCGF</v>
      </c>
      <c r="D143" s="844">
        <v>1</v>
      </c>
      <c r="E143" s="844">
        <v>1</v>
      </c>
      <c r="F143" s="844">
        <v>17</v>
      </c>
      <c r="G143" s="844">
        <v>999999</v>
      </c>
      <c r="H143" s="844">
        <v>999</v>
      </c>
      <c r="I143" s="844">
        <v>2</v>
      </c>
      <c r="J143" s="844">
        <v>999</v>
      </c>
      <c r="K143" s="844">
        <v>9</v>
      </c>
      <c r="L143" s="844">
        <v>99</v>
      </c>
      <c r="M143" s="844">
        <v>9</v>
      </c>
      <c r="N143" s="844">
        <v>3</v>
      </c>
      <c r="O143" s="844">
        <v>0</v>
      </c>
      <c r="P143" s="906">
        <f t="shared" ca="1" si="5"/>
        <v>0</v>
      </c>
      <c r="Q143" s="232">
        <f ca="1">Energia!$F$22</f>
        <v>0</v>
      </c>
    </row>
    <row r="144" spans="1:17" ht="15.75">
      <c r="A144" s="844" t="s">
        <v>696</v>
      </c>
      <c r="B144" s="844" t="s">
        <v>72</v>
      </c>
      <c r="C144" s="844" t="s">
        <v>2053</v>
      </c>
      <c r="D144" s="844">
        <v>1</v>
      </c>
      <c r="E144" s="844">
        <v>1</v>
      </c>
      <c r="F144" s="844">
        <v>999</v>
      </c>
      <c r="G144" s="844">
        <v>999999</v>
      </c>
      <c r="H144" s="844">
        <v>999</v>
      </c>
      <c r="I144" s="844">
        <v>3</v>
      </c>
      <c r="J144" s="844">
        <v>35</v>
      </c>
      <c r="K144" s="844">
        <v>9</v>
      </c>
      <c r="L144" s="844">
        <v>99</v>
      </c>
      <c r="M144" s="844">
        <v>9</v>
      </c>
      <c r="N144" s="844">
        <v>3</v>
      </c>
      <c r="O144" s="844">
        <v>99999</v>
      </c>
      <c r="P144" s="906">
        <f>IF(ISNUMBER(Q144),Q144,0)</f>
        <v>4363.68</v>
      </c>
      <c r="Q144" s="232">
        <f>Encargos!L17</f>
        <v>4363.68</v>
      </c>
    </row>
    <row r="145" spans="1:17" ht="15.75">
      <c r="A145" s="844" t="s">
        <v>696</v>
      </c>
      <c r="B145" s="844" t="s">
        <v>72</v>
      </c>
      <c r="C145" s="844" t="s">
        <v>2055</v>
      </c>
      <c r="D145" s="844">
        <v>2</v>
      </c>
      <c r="E145" s="844">
        <v>1</v>
      </c>
      <c r="F145" s="844">
        <v>51</v>
      </c>
      <c r="G145" s="844">
        <v>999999</v>
      </c>
      <c r="H145" s="844">
        <v>999</v>
      </c>
      <c r="I145" s="844">
        <v>3</v>
      </c>
      <c r="J145" s="844">
        <v>28</v>
      </c>
      <c r="K145" s="844">
        <v>2</v>
      </c>
      <c r="L145" s="844">
        <v>99</v>
      </c>
      <c r="M145" s="844">
        <v>9</v>
      </c>
      <c r="N145" s="844">
        <v>3</v>
      </c>
      <c r="O145" s="844">
        <v>99999</v>
      </c>
      <c r="P145" s="906">
        <f>IF(ISNUMBER(Q145),Q145,0)</f>
        <v>0</v>
      </c>
      <c r="Q145" s="232">
        <f>Encargos!I21</f>
        <v>0</v>
      </c>
    </row>
    <row r="146" spans="1:17" ht="15.75">
      <c r="A146" s="844" t="s">
        <v>1459</v>
      </c>
      <c r="B146" s="844" t="s">
        <v>108</v>
      </c>
      <c r="C146" s="844" t="s">
        <v>2162</v>
      </c>
      <c r="D146" s="844">
        <v>3</v>
      </c>
      <c r="E146" s="844">
        <v>1</v>
      </c>
      <c r="F146" s="844">
        <v>37</v>
      </c>
      <c r="G146" s="844">
        <v>999999</v>
      </c>
      <c r="H146" s="844">
        <v>999</v>
      </c>
      <c r="I146" s="844">
        <v>99</v>
      </c>
      <c r="J146" s="844">
        <v>999</v>
      </c>
      <c r="K146" s="844">
        <v>9</v>
      </c>
      <c r="L146" s="844">
        <v>99</v>
      </c>
      <c r="M146" s="844">
        <v>9</v>
      </c>
      <c r="N146" s="844">
        <v>8</v>
      </c>
      <c r="O146" s="844">
        <v>99999</v>
      </c>
      <c r="P146" s="906">
        <f ca="1">IF(ISNUMBER(Q146),Q146,0)</f>
        <v>5.4087120729576499E-2</v>
      </c>
      <c r="Q146" s="232">
        <f ca="1">Energia!L35</f>
        <v>5.4087120729576499E-2</v>
      </c>
    </row>
    <row r="147" spans="1:17" ht="15.75">
      <c r="A147" s="844" t="s">
        <v>696</v>
      </c>
      <c r="B147" s="844" t="s">
        <v>1290</v>
      </c>
      <c r="C147" s="844" t="str">
        <f>Financeiros!C9</f>
        <v>Repasse de PIS COFINS CUSD</v>
      </c>
      <c r="D147" s="844">
        <v>2</v>
      </c>
      <c r="E147" s="844">
        <v>2</v>
      </c>
      <c r="F147" s="844">
        <f>Financeiros!H9</f>
        <v>22</v>
      </c>
      <c r="G147" s="844">
        <f>Financeiros!I9</f>
        <v>60</v>
      </c>
      <c r="H147" s="844">
        <f>Financeiros!J9</f>
        <v>999</v>
      </c>
      <c r="I147" s="844">
        <f>Financeiros!K9</f>
        <v>1</v>
      </c>
      <c r="J147" s="844">
        <f>Financeiros!L9</f>
        <v>7</v>
      </c>
      <c r="K147" s="844">
        <f>Financeiros!M9</f>
        <v>9</v>
      </c>
      <c r="L147" s="844">
        <v>99</v>
      </c>
      <c r="M147" s="844">
        <v>9</v>
      </c>
      <c r="N147" s="844">
        <v>3</v>
      </c>
      <c r="O147" s="844">
        <v>99999</v>
      </c>
      <c r="P147" s="906">
        <f t="shared" si="5"/>
        <v>64714.844647360944</v>
      </c>
      <c r="Q147" s="232">
        <f>Financeiros!D9</f>
        <v>64714.844647360944</v>
      </c>
    </row>
    <row r="148" spans="1:17" ht="15.75">
      <c r="A148" s="844" t="s">
        <v>696</v>
      </c>
      <c r="B148" s="844" t="s">
        <v>1290</v>
      </c>
      <c r="C148" s="844" t="str">
        <f>Financeiros!C10</f>
        <v>Repasse de PIS COFINS TE - Energia - Energia de Revenda</v>
      </c>
      <c r="D148" s="844">
        <v>2</v>
      </c>
      <c r="E148" s="844">
        <v>2</v>
      </c>
      <c r="F148" s="844">
        <f>Financeiros!H10</f>
        <v>22</v>
      </c>
      <c r="G148" s="844">
        <f>Financeiros!I10</f>
        <v>60</v>
      </c>
      <c r="H148" s="844">
        <f>Financeiros!J10</f>
        <v>999</v>
      </c>
      <c r="I148" s="844">
        <f>Financeiros!K10</f>
        <v>2</v>
      </c>
      <c r="J148" s="844">
        <f>Financeiros!L10</f>
        <v>11</v>
      </c>
      <c r="K148" s="844">
        <f>Financeiros!M10</f>
        <v>9</v>
      </c>
      <c r="L148" s="844">
        <v>99</v>
      </c>
      <c r="M148" s="844">
        <v>9</v>
      </c>
      <c r="N148" s="844">
        <v>3</v>
      </c>
      <c r="O148" s="844">
        <v>99999</v>
      </c>
      <c r="P148" s="906">
        <f t="shared" ref="P148:P211" ca="1" si="6">IF(ISNUMBER(Q148),Q148,0)</f>
        <v>186243.66035688555</v>
      </c>
      <c r="Q148" s="232">
        <f ca="1">Financeiros!D10</f>
        <v>186243.66035688555</v>
      </c>
    </row>
    <row r="149" spans="1:17" ht="15.75">
      <c r="A149" s="844" t="s">
        <v>696</v>
      </c>
      <c r="B149" s="844" t="s">
        <v>1290</v>
      </c>
      <c r="C149" s="844" t="str">
        <f>Financeiros!C11</f>
        <v>Repasse de PIS COFINS TE - Energia - Perda Não Técnica</v>
      </c>
      <c r="D149" s="844">
        <v>2</v>
      </c>
      <c r="E149" s="844">
        <v>2</v>
      </c>
      <c r="F149" s="844">
        <f>Financeiros!H11</f>
        <v>22</v>
      </c>
      <c r="G149" s="844">
        <f>Financeiros!I11</f>
        <v>60</v>
      </c>
      <c r="H149" s="844">
        <f>Financeiros!J11</f>
        <v>999</v>
      </c>
      <c r="I149" s="844">
        <f>Financeiros!K11</f>
        <v>2</v>
      </c>
      <c r="J149" s="844">
        <f>Financeiros!L11</f>
        <v>9</v>
      </c>
      <c r="K149" s="844">
        <f>Financeiros!M11</f>
        <v>9</v>
      </c>
      <c r="L149" s="844">
        <v>99</v>
      </c>
      <c r="M149" s="844">
        <v>9</v>
      </c>
      <c r="N149" s="844">
        <v>3</v>
      </c>
      <c r="O149" s="844">
        <v>99999</v>
      </c>
      <c r="P149" s="906">
        <f t="shared" ca="1" si="6"/>
        <v>0</v>
      </c>
      <c r="Q149" s="232">
        <f ca="1">Financeiros!D11</f>
        <v>0</v>
      </c>
    </row>
    <row r="150" spans="1:17" ht="15.75">
      <c r="A150" s="844" t="s">
        <v>696</v>
      </c>
      <c r="B150" s="844" t="s">
        <v>1290</v>
      </c>
      <c r="C150" s="844" t="str">
        <f>Financeiros!C12</f>
        <v>Repasse de PIS COFINS TE - Energia - Perda Técnica</v>
      </c>
      <c r="D150" s="844">
        <v>2</v>
      </c>
      <c r="E150" s="844">
        <v>2</v>
      </c>
      <c r="F150" s="844">
        <f>Financeiros!H12</f>
        <v>22</v>
      </c>
      <c r="G150" s="844">
        <f>Financeiros!I12</f>
        <v>60</v>
      </c>
      <c r="H150" s="844">
        <f>Financeiros!J12</f>
        <v>999</v>
      </c>
      <c r="I150" s="844">
        <f>Financeiros!K12</f>
        <v>2</v>
      </c>
      <c r="J150" s="844">
        <f>Financeiros!L12</f>
        <v>8</v>
      </c>
      <c r="K150" s="844">
        <f>Financeiros!M12</f>
        <v>9</v>
      </c>
      <c r="L150" s="844">
        <v>99</v>
      </c>
      <c r="M150" s="844">
        <v>9</v>
      </c>
      <c r="N150" s="844">
        <v>3</v>
      </c>
      <c r="O150" s="844">
        <v>99999</v>
      </c>
      <c r="P150" s="906">
        <f t="shared" ca="1" si="6"/>
        <v>10073.383342841107</v>
      </c>
      <c r="Q150" s="232">
        <f ca="1">Financeiros!D12</f>
        <v>10073.383342841107</v>
      </c>
    </row>
    <row r="151" spans="1:17" ht="15.75">
      <c r="A151" s="844" t="s">
        <v>696</v>
      </c>
      <c r="B151" s="844" t="s">
        <v>1290</v>
      </c>
      <c r="C151" s="844" t="str">
        <f>Financeiros!C13</f>
        <v>Repasse de PIS COFINS TE - Energia - Perda Rede Básica sobre Dist.</v>
      </c>
      <c r="D151" s="844">
        <v>2</v>
      </c>
      <c r="E151" s="844">
        <v>2</v>
      </c>
      <c r="F151" s="844">
        <f>Financeiros!H13</f>
        <v>22</v>
      </c>
      <c r="G151" s="844">
        <f>Financeiros!I13</f>
        <v>60</v>
      </c>
      <c r="H151" s="844">
        <f>Financeiros!J13</f>
        <v>999</v>
      </c>
      <c r="I151" s="844">
        <f>Financeiros!K13</f>
        <v>2</v>
      </c>
      <c r="J151" s="844">
        <f>Financeiros!L13</f>
        <v>10</v>
      </c>
      <c r="K151" s="844">
        <f>Financeiros!M13</f>
        <v>9</v>
      </c>
      <c r="L151" s="844">
        <v>99</v>
      </c>
      <c r="M151" s="844">
        <v>9</v>
      </c>
      <c r="N151" s="844">
        <v>3</v>
      </c>
      <c r="O151" s="844">
        <v>99999</v>
      </c>
      <c r="P151" s="906">
        <f t="shared" ca="1" si="6"/>
        <v>0</v>
      </c>
      <c r="Q151" s="232">
        <f ca="1">Financeiros!D13</f>
        <v>0</v>
      </c>
    </row>
    <row r="152" spans="1:17" ht="15.75">
      <c r="A152" s="844" t="s">
        <v>696</v>
      </c>
      <c r="B152" s="844" t="s">
        <v>1290</v>
      </c>
      <c r="C152" s="844" t="str">
        <f>Financeiros!C14</f>
        <v>Repasse de PIS COFINS TE - Energia - Perda Rede Básica sobre mercado Cat.</v>
      </c>
      <c r="D152" s="844">
        <v>2</v>
      </c>
      <c r="E152" s="844">
        <v>2</v>
      </c>
      <c r="F152" s="844">
        <f>Financeiros!H14</f>
        <v>22</v>
      </c>
      <c r="G152" s="844">
        <f>Financeiros!I14</f>
        <v>60</v>
      </c>
      <c r="H152" s="844">
        <f>Financeiros!J14</f>
        <v>999</v>
      </c>
      <c r="I152" s="844">
        <f>Financeiros!K14</f>
        <v>2</v>
      </c>
      <c r="J152" s="844">
        <f>Financeiros!L14</f>
        <v>24</v>
      </c>
      <c r="K152" s="844">
        <f>Financeiros!M14</f>
        <v>9</v>
      </c>
      <c r="L152" s="844">
        <v>99</v>
      </c>
      <c r="M152" s="844">
        <v>9</v>
      </c>
      <c r="N152" s="844">
        <v>3</v>
      </c>
      <c r="O152" s="844">
        <v>99999</v>
      </c>
      <c r="P152" s="906">
        <f t="shared" ca="1" si="6"/>
        <v>0</v>
      </c>
      <c r="Q152" s="232">
        <f ca="1">Financeiros!D14</f>
        <v>0</v>
      </c>
    </row>
    <row r="153" spans="1:17" ht="15.75">
      <c r="A153" s="844" t="s">
        <v>696</v>
      </c>
      <c r="B153" s="844" t="s">
        <v>1290</v>
      </c>
      <c r="C153" s="844" t="str">
        <f>Financeiros!C15</f>
        <v>(Neutralidade) TFSEE</v>
      </c>
      <c r="D153" s="844">
        <v>2</v>
      </c>
      <c r="E153" s="844">
        <v>2</v>
      </c>
      <c r="F153" s="844">
        <f>Financeiros!H15</f>
        <v>20</v>
      </c>
      <c r="G153" s="844">
        <f>Financeiros!I15</f>
        <v>60</v>
      </c>
      <c r="H153" s="844">
        <f>Financeiros!J15</f>
        <v>999</v>
      </c>
      <c r="I153" s="844">
        <f>Financeiros!K15</f>
        <v>3</v>
      </c>
      <c r="J153" s="844">
        <f>Financeiros!L15</f>
        <v>14</v>
      </c>
      <c r="K153" s="844">
        <f>Financeiros!M15</f>
        <v>9</v>
      </c>
      <c r="L153" s="844">
        <v>99</v>
      </c>
      <c r="M153" s="844">
        <v>9</v>
      </c>
      <c r="N153" s="844">
        <v>3</v>
      </c>
      <c r="O153" s="844">
        <v>99999</v>
      </c>
      <c r="P153" s="906">
        <f t="shared" ca="1" si="6"/>
        <v>-1049.8958455291686</v>
      </c>
      <c r="Q153" s="232">
        <f ca="1">Financeiros!D15</f>
        <v>-1049.8958455291686</v>
      </c>
    </row>
    <row r="154" spans="1:17" ht="15.75">
      <c r="A154" s="844" t="s">
        <v>696</v>
      </c>
      <c r="B154" s="844" t="s">
        <v>1290</v>
      </c>
      <c r="C154" s="844" t="str">
        <f>Financeiros!C16</f>
        <v>(Neutralidade) CDE</v>
      </c>
      <c r="D154" s="844">
        <v>2</v>
      </c>
      <c r="E154" s="844">
        <v>2</v>
      </c>
      <c r="F154" s="844">
        <f>Financeiros!H16</f>
        <v>20</v>
      </c>
      <c r="G154" s="844">
        <f>Financeiros!I16</f>
        <v>60</v>
      </c>
      <c r="H154" s="844">
        <f>Financeiros!J16</f>
        <v>999</v>
      </c>
      <c r="I154" s="844">
        <f>Financeiros!K16</f>
        <v>3</v>
      </c>
      <c r="J154" s="844">
        <f>Financeiros!L16</f>
        <v>15</v>
      </c>
      <c r="K154" s="844">
        <f>Financeiros!M16</f>
        <v>9</v>
      </c>
      <c r="L154" s="844">
        <v>99</v>
      </c>
      <c r="M154" s="844">
        <v>9</v>
      </c>
      <c r="N154" s="844">
        <v>3</v>
      </c>
      <c r="O154" s="844">
        <v>99999</v>
      </c>
      <c r="P154" s="906">
        <f t="shared" ca="1" si="6"/>
        <v>-95422.930034866673</v>
      </c>
      <c r="Q154" s="232">
        <f ca="1">Financeiros!D16</f>
        <v>-95422.930034866673</v>
      </c>
    </row>
    <row r="155" spans="1:17" ht="15.75">
      <c r="A155" s="844" t="s">
        <v>696</v>
      </c>
      <c r="B155" s="844" t="s">
        <v>1290</v>
      </c>
      <c r="C155" s="844" t="str">
        <f>Financeiros!C17</f>
        <v>(Neutralidade) CFURH</v>
      </c>
      <c r="D155" s="844">
        <v>2</v>
      </c>
      <c r="E155" s="844">
        <v>2</v>
      </c>
      <c r="F155" s="844">
        <f>Financeiros!H17</f>
        <v>20</v>
      </c>
      <c r="G155" s="844">
        <f>Financeiros!I17</f>
        <v>60</v>
      </c>
      <c r="H155" s="844">
        <f>Financeiros!J17</f>
        <v>999</v>
      </c>
      <c r="I155" s="844">
        <f>Financeiros!K17</f>
        <v>3</v>
      </c>
      <c r="J155" s="844">
        <f>Financeiros!L17</f>
        <v>16</v>
      </c>
      <c r="K155" s="844">
        <f>Financeiros!M17</f>
        <v>9</v>
      </c>
      <c r="L155" s="844">
        <v>99</v>
      </c>
      <c r="M155" s="844">
        <v>9</v>
      </c>
      <c r="N155" s="844">
        <v>3</v>
      </c>
      <c r="O155" s="844">
        <v>99999</v>
      </c>
      <c r="P155" s="906">
        <f t="shared" si="6"/>
        <v>0</v>
      </c>
      <c r="Q155" s="232">
        <f>Financeiros!D17</f>
        <v>0</v>
      </c>
    </row>
    <row r="156" spans="1:17" ht="15.75">
      <c r="A156" s="844" t="s">
        <v>696</v>
      </c>
      <c r="B156" s="844" t="s">
        <v>1290</v>
      </c>
      <c r="C156" s="844" t="str">
        <f>Financeiros!C18</f>
        <v>(Neutralidade) ESS/ERR</v>
      </c>
      <c r="D156" s="844">
        <v>2</v>
      </c>
      <c r="E156" s="844">
        <v>2</v>
      </c>
      <c r="F156" s="844">
        <f>Financeiros!H18</f>
        <v>20</v>
      </c>
      <c r="G156" s="844">
        <f>Financeiros!I18</f>
        <v>60</v>
      </c>
      <c r="H156" s="844">
        <f>Financeiros!J18</f>
        <v>999</v>
      </c>
      <c r="I156" s="844">
        <f>Financeiros!K18</f>
        <v>3</v>
      </c>
      <c r="J156" s="844">
        <f>Financeiros!L18</f>
        <v>17</v>
      </c>
      <c r="K156" s="844">
        <f>Financeiros!M18</f>
        <v>9</v>
      </c>
      <c r="L156" s="844">
        <v>99</v>
      </c>
      <c r="M156" s="844">
        <v>9</v>
      </c>
      <c r="N156" s="844">
        <v>3</v>
      </c>
      <c r="O156" s="844">
        <v>99999</v>
      </c>
      <c r="P156" s="906">
        <f t="shared" ca="1" si="6"/>
        <v>0</v>
      </c>
      <c r="Q156" s="232">
        <f ca="1">Financeiros!D18</f>
        <v>0</v>
      </c>
    </row>
    <row r="157" spans="1:17" ht="15.75">
      <c r="A157" s="844" t="s">
        <v>696</v>
      </c>
      <c r="B157" s="844" t="s">
        <v>1290</v>
      </c>
      <c r="C157" s="844" t="str">
        <f>Financeiros!C19</f>
        <v>(Neutralidade) PROINFA</v>
      </c>
      <c r="D157" s="844">
        <v>2</v>
      </c>
      <c r="E157" s="844">
        <v>2</v>
      </c>
      <c r="F157" s="844">
        <f>Financeiros!H19</f>
        <v>20</v>
      </c>
      <c r="G157" s="844">
        <f>Financeiros!I19</f>
        <v>60</v>
      </c>
      <c r="H157" s="844">
        <f>Financeiros!J19</f>
        <v>999</v>
      </c>
      <c r="I157" s="844">
        <f>Financeiros!K19</f>
        <v>3</v>
      </c>
      <c r="J157" s="844">
        <f>Financeiros!L19</f>
        <v>18</v>
      </c>
      <c r="K157" s="844">
        <f>Financeiros!M19</f>
        <v>9</v>
      </c>
      <c r="L157" s="844">
        <v>99</v>
      </c>
      <c r="M157" s="844">
        <v>9</v>
      </c>
      <c r="N157" s="844">
        <v>3</v>
      </c>
      <c r="O157" s="844">
        <v>99999</v>
      </c>
      <c r="P157" s="906">
        <f t="shared" ca="1" si="6"/>
        <v>-17322.630753886519</v>
      </c>
      <c r="Q157" s="232">
        <f ca="1">Financeiros!D19</f>
        <v>-17322.630753886519</v>
      </c>
    </row>
    <row r="158" spans="1:17" ht="15.75">
      <c r="A158" s="844" t="s">
        <v>696</v>
      </c>
      <c r="B158" s="844" t="s">
        <v>1290</v>
      </c>
      <c r="C158" s="844" t="str">
        <f>Financeiros!C20</f>
        <v>(Neutralidade) CDE COVID</v>
      </c>
      <c r="D158" s="844">
        <v>2</v>
      </c>
      <c r="E158" s="844">
        <v>2</v>
      </c>
      <c r="F158" s="844">
        <f>Financeiros!H20</f>
        <v>20</v>
      </c>
      <c r="G158" s="844">
        <f>Financeiros!I20</f>
        <v>60</v>
      </c>
      <c r="H158" s="844">
        <f>Financeiros!J20</f>
        <v>999</v>
      </c>
      <c r="I158" s="844">
        <f>Financeiros!K20</f>
        <v>3</v>
      </c>
      <c r="J158" s="844">
        <f>Financeiros!L20</f>
        <v>12</v>
      </c>
      <c r="K158" s="844">
        <f>Financeiros!M20</f>
        <v>9</v>
      </c>
      <c r="L158" s="844">
        <v>99</v>
      </c>
      <c r="M158" s="844">
        <v>9</v>
      </c>
      <c r="N158" s="844">
        <v>3</v>
      </c>
      <c r="O158" s="844">
        <v>99999</v>
      </c>
      <c r="P158" s="906">
        <f t="shared" ca="1" si="6"/>
        <v>0</v>
      </c>
      <c r="Q158" s="232">
        <f ca="1">Financeiros!D20</f>
        <v>0</v>
      </c>
    </row>
    <row r="159" spans="1:17" ht="15.75">
      <c r="A159" s="844" t="s">
        <v>696</v>
      </c>
      <c r="B159" s="844" t="s">
        <v>1290</v>
      </c>
      <c r="C159" s="844" t="str">
        <f>Financeiros!C21</f>
        <v>(Neutralidade) P&amp;D</v>
      </c>
      <c r="D159" s="844">
        <v>2</v>
      </c>
      <c r="E159" s="844">
        <v>2</v>
      </c>
      <c r="F159" s="844">
        <f>Financeiros!H21</f>
        <v>20</v>
      </c>
      <c r="G159" s="844">
        <f>Financeiros!I21</f>
        <v>60</v>
      </c>
      <c r="H159" s="844">
        <f>Financeiros!J21</f>
        <v>999</v>
      </c>
      <c r="I159" s="844">
        <f>Financeiros!K21</f>
        <v>3</v>
      </c>
      <c r="J159" s="844">
        <f>Financeiros!L21</f>
        <v>19</v>
      </c>
      <c r="K159" s="844">
        <f>Financeiros!M21</f>
        <v>9</v>
      </c>
      <c r="L159" s="844">
        <v>99</v>
      </c>
      <c r="M159" s="844">
        <v>9</v>
      </c>
      <c r="N159" s="844">
        <v>3</v>
      </c>
      <c r="O159" s="844">
        <v>99999</v>
      </c>
      <c r="P159" s="906">
        <f t="shared" ca="1" si="6"/>
        <v>0</v>
      </c>
      <c r="Q159" s="232">
        <f ca="1">Financeiros!D21</f>
        <v>0</v>
      </c>
    </row>
    <row r="160" spans="1:17" ht="15.75">
      <c r="A160" s="844" t="s">
        <v>696</v>
      </c>
      <c r="B160" s="844" t="s">
        <v>1290</v>
      </c>
      <c r="C160" s="844" t="str">
        <f>Financeiros!C22</f>
        <v>(Neutralidade)Financeiro Covid</v>
      </c>
      <c r="D160" s="844">
        <v>2</v>
      </c>
      <c r="E160" s="844">
        <v>2</v>
      </c>
      <c r="F160" s="844">
        <f>Financeiros!H22</f>
        <v>20</v>
      </c>
      <c r="G160" s="844">
        <f>Financeiros!I22</f>
        <v>60</v>
      </c>
      <c r="H160" s="844">
        <f>Financeiros!J22</f>
        <v>999</v>
      </c>
      <c r="I160" s="844">
        <f>Financeiros!K22</f>
        <v>4</v>
      </c>
      <c r="J160" s="844">
        <f>Financeiros!L22</f>
        <v>999</v>
      </c>
      <c r="K160" s="844">
        <f>Financeiros!M22</f>
        <v>9</v>
      </c>
      <c r="L160" s="844">
        <v>99</v>
      </c>
      <c r="M160" s="844">
        <v>9</v>
      </c>
      <c r="N160" s="844">
        <v>3</v>
      </c>
      <c r="O160" s="844">
        <v>99999</v>
      </c>
      <c r="P160" s="906">
        <f t="shared" ca="1" si="6"/>
        <v>0</v>
      </c>
      <c r="Q160" s="232">
        <f ca="1">Financeiros!D22</f>
        <v>0</v>
      </c>
    </row>
    <row r="161" spans="1:17" ht="15.75">
      <c r="A161" s="844" t="s">
        <v>696</v>
      </c>
      <c r="B161" s="844" t="s">
        <v>1290</v>
      </c>
      <c r="C161" s="844" t="str">
        <f>Financeiros!C23</f>
        <v>(Neutralidade)Crédito Pis Cofins</v>
      </c>
      <c r="D161" s="844">
        <v>2</v>
      </c>
      <c r="E161" s="844">
        <v>2</v>
      </c>
      <c r="F161" s="844">
        <f>Financeiros!H23</f>
        <v>20</v>
      </c>
      <c r="G161" s="844">
        <f>Financeiros!I23</f>
        <v>60</v>
      </c>
      <c r="H161" s="844">
        <f>Financeiros!J23</f>
        <v>179</v>
      </c>
      <c r="I161" s="844">
        <f>Financeiros!K23</f>
        <v>99</v>
      </c>
      <c r="J161" s="844">
        <f>Financeiros!L23</f>
        <v>999</v>
      </c>
      <c r="K161" s="844">
        <f>Financeiros!M23</f>
        <v>3</v>
      </c>
      <c r="L161" s="844">
        <v>99</v>
      </c>
      <c r="M161" s="844">
        <v>9</v>
      </c>
      <c r="N161" s="844">
        <v>3</v>
      </c>
      <c r="O161" s="844">
        <v>99999</v>
      </c>
      <c r="P161" s="906">
        <f t="shared" ca="1" si="6"/>
        <v>0</v>
      </c>
      <c r="Q161" s="232">
        <f ca="1">Financeiros!D23</f>
        <v>0</v>
      </c>
    </row>
    <row r="162" spans="1:17" ht="15.75">
      <c r="A162" s="844" t="s">
        <v>696</v>
      </c>
      <c r="B162" s="844" t="s">
        <v>1290</v>
      </c>
      <c r="C162" s="844" t="str">
        <f>Financeiros!C24</f>
        <v>Ajuste CUST RB + PIS Cofins RB</v>
      </c>
      <c r="D162" s="844">
        <v>2</v>
      </c>
      <c r="E162" s="844">
        <v>2</v>
      </c>
      <c r="F162" s="844">
        <f>Financeiros!H24</f>
        <v>22</v>
      </c>
      <c r="G162" s="844">
        <f>Financeiros!I24</f>
        <v>60</v>
      </c>
      <c r="H162" s="844">
        <f>Financeiros!J24</f>
        <v>999</v>
      </c>
      <c r="I162" s="844">
        <f>Financeiros!K24</f>
        <v>1</v>
      </c>
      <c r="J162" s="844">
        <f>Financeiros!L24</f>
        <v>1</v>
      </c>
      <c r="K162" s="844">
        <f>Financeiros!M24</f>
        <v>9</v>
      </c>
      <c r="L162" s="844">
        <v>99</v>
      </c>
      <c r="M162" s="844">
        <v>9</v>
      </c>
      <c r="N162" s="844">
        <v>3</v>
      </c>
      <c r="O162" s="844">
        <v>99999</v>
      </c>
      <c r="P162" s="906">
        <f t="shared" si="6"/>
        <v>0</v>
      </c>
      <c r="Q162" s="232">
        <f>Financeiros!D24</f>
        <v>0</v>
      </c>
    </row>
    <row r="163" spans="1:17" ht="15.75">
      <c r="A163" s="844" t="s">
        <v>696</v>
      </c>
      <c r="B163" s="844" t="s">
        <v>1290</v>
      </c>
      <c r="C163" s="844" t="str">
        <f>Financeiros!C25</f>
        <v>Ajuste CUST RB Fronteira + PIS Cofins RB Fronteira</v>
      </c>
      <c r="D163" s="844">
        <v>2</v>
      </c>
      <c r="E163" s="844">
        <v>2</v>
      </c>
      <c r="F163" s="844">
        <f>Financeiros!H25</f>
        <v>22</v>
      </c>
      <c r="G163" s="844">
        <f>Financeiros!I25</f>
        <v>60</v>
      </c>
      <c r="H163" s="844">
        <f>Financeiros!J25</f>
        <v>999</v>
      </c>
      <c r="I163" s="844">
        <f>Financeiros!K25</f>
        <v>1</v>
      </c>
      <c r="J163" s="844">
        <f>Financeiros!L25</f>
        <v>2</v>
      </c>
      <c r="K163" s="844">
        <f>Financeiros!M25</f>
        <v>9</v>
      </c>
      <c r="L163" s="844">
        <v>99</v>
      </c>
      <c r="M163" s="844">
        <v>9</v>
      </c>
      <c r="N163" s="844">
        <v>3</v>
      </c>
      <c r="O163" s="844">
        <v>99999</v>
      </c>
      <c r="P163" s="906">
        <f t="shared" si="6"/>
        <v>0</v>
      </c>
      <c r="Q163" s="232">
        <f>Financeiros!D25</f>
        <v>0</v>
      </c>
    </row>
    <row r="164" spans="1:17" ht="15.75">
      <c r="A164" s="844" t="s">
        <v>696</v>
      </c>
      <c r="B164" s="844" t="s">
        <v>1290</v>
      </c>
      <c r="C164" s="844" t="str">
        <f>Financeiros!C26</f>
        <v>Manual de Contabilidade do Setor Elétrico</v>
      </c>
      <c r="D164" s="844">
        <v>2</v>
      </c>
      <c r="E164" s="844">
        <v>2</v>
      </c>
      <c r="F164" s="844">
        <f>Financeiros!H26</f>
        <v>22</v>
      </c>
      <c r="G164" s="844">
        <f>Financeiros!I26</f>
        <v>60</v>
      </c>
      <c r="H164" s="844">
        <f>Financeiros!J26</f>
        <v>167</v>
      </c>
      <c r="I164" s="844">
        <f>Financeiros!K26</f>
        <v>4</v>
      </c>
      <c r="J164" s="844">
        <f>Financeiros!L26</f>
        <v>999</v>
      </c>
      <c r="K164" s="844">
        <f>Financeiros!M26</f>
        <v>9</v>
      </c>
      <c r="L164" s="844">
        <v>99</v>
      </c>
      <c r="M164" s="844">
        <v>9</v>
      </c>
      <c r="N164" s="844">
        <v>3</v>
      </c>
      <c r="O164" s="844">
        <v>99999</v>
      </c>
      <c r="P164" s="906">
        <f t="shared" si="6"/>
        <v>0</v>
      </c>
      <c r="Q164" s="232">
        <f>Financeiros!D26</f>
        <v>0</v>
      </c>
    </row>
    <row r="165" spans="1:17" ht="15.75">
      <c r="A165" s="844" t="s">
        <v>696</v>
      </c>
      <c r="B165" s="844" t="s">
        <v>1290</v>
      </c>
      <c r="C165" s="844" t="str">
        <f>Financeiros!C27</f>
        <v>Financeiro CDE Eletrobras</v>
      </c>
      <c r="D165" s="844">
        <v>2</v>
      </c>
      <c r="E165" s="844">
        <v>2</v>
      </c>
      <c r="F165" s="844">
        <f>Financeiros!H27</f>
        <v>22</v>
      </c>
      <c r="G165" s="844">
        <f>Financeiros!I27</f>
        <v>60</v>
      </c>
      <c r="H165" s="844">
        <f>Financeiros!J27</f>
        <v>999</v>
      </c>
      <c r="I165" s="844">
        <f>Financeiros!K27</f>
        <v>3</v>
      </c>
      <c r="J165" s="844">
        <f>Financeiros!L27</f>
        <v>28</v>
      </c>
      <c r="K165" s="844">
        <f>Financeiros!M27</f>
        <v>9</v>
      </c>
      <c r="L165" s="844">
        <v>99</v>
      </c>
      <c r="M165" s="844">
        <v>9</v>
      </c>
      <c r="N165" s="844">
        <v>3</v>
      </c>
      <c r="O165" s="844">
        <v>99999</v>
      </c>
      <c r="P165" s="906">
        <f t="shared" si="6"/>
        <v>0</v>
      </c>
      <c r="Q165" s="232">
        <f>Financeiros!D27</f>
        <v>0</v>
      </c>
    </row>
    <row r="166" spans="1:17" ht="15.75">
      <c r="A166" s="844" t="s">
        <v>696</v>
      </c>
      <c r="B166" s="844" t="s">
        <v>1290</v>
      </c>
      <c r="C166" s="844" t="str">
        <f>Financeiros!C28</f>
        <v>Ajustes Processos anteriores</v>
      </c>
      <c r="D166" s="844">
        <v>2</v>
      </c>
      <c r="E166" s="844">
        <v>2</v>
      </c>
      <c r="F166" s="844">
        <f>Financeiros!H28</f>
        <v>22</v>
      </c>
      <c r="G166" s="844">
        <f>Financeiros!I28</f>
        <v>60</v>
      </c>
      <c r="H166" s="844">
        <f>Financeiros!J28</f>
        <v>999</v>
      </c>
      <c r="I166" s="844">
        <f>Financeiros!K28</f>
        <v>2</v>
      </c>
      <c r="J166" s="844">
        <f>Financeiros!L28</f>
        <v>30</v>
      </c>
      <c r="K166" s="844">
        <f>Financeiros!M28</f>
        <v>9</v>
      </c>
      <c r="L166" s="844">
        <v>99</v>
      </c>
      <c r="M166" s="844">
        <v>9</v>
      </c>
      <c r="N166" s="844">
        <v>3</v>
      </c>
      <c r="O166" s="844">
        <v>99999</v>
      </c>
      <c r="P166" s="906">
        <f t="shared" si="6"/>
        <v>0</v>
      </c>
      <c r="Q166" s="232">
        <f>Financeiros!D28</f>
        <v>0</v>
      </c>
    </row>
    <row r="167" spans="1:17" ht="15.75">
      <c r="A167" s="844" t="s">
        <v>696</v>
      </c>
      <c r="B167" s="844" t="s">
        <v>1290</v>
      </c>
      <c r="C167" s="844" t="str">
        <f>Financeiros!C29</f>
        <v>Compensação DIC FIC</v>
      </c>
      <c r="D167" s="844">
        <v>2</v>
      </c>
      <c r="E167" s="844">
        <v>2</v>
      </c>
      <c r="F167" s="844">
        <f>Financeiros!H29</f>
        <v>22</v>
      </c>
      <c r="G167" s="844">
        <f>Financeiros!I29</f>
        <v>60</v>
      </c>
      <c r="H167" s="844">
        <f>Financeiros!J29</f>
        <v>178</v>
      </c>
      <c r="I167" s="844">
        <f>Financeiros!K29</f>
        <v>1</v>
      </c>
      <c r="J167" s="844">
        <f>Financeiros!L29</f>
        <v>7</v>
      </c>
      <c r="K167" s="844">
        <f>Financeiros!M29</f>
        <v>9</v>
      </c>
      <c r="L167" s="844">
        <v>99</v>
      </c>
      <c r="M167" s="844">
        <v>9</v>
      </c>
      <c r="N167" s="844">
        <v>3</v>
      </c>
      <c r="O167" s="844">
        <v>99999</v>
      </c>
      <c r="P167" s="906">
        <f t="shared" si="6"/>
        <v>-33595.792543624571</v>
      </c>
      <c r="Q167" s="232">
        <f>Financeiros!D29</f>
        <v>-33595.792543624571</v>
      </c>
    </row>
    <row r="168" spans="1:17" ht="15.75">
      <c r="A168" s="844" t="s">
        <v>696</v>
      </c>
      <c r="B168" s="844" t="s">
        <v>1290</v>
      </c>
      <c r="C168" s="844" t="str">
        <f>Financeiros!C30</f>
        <v>Subvenção CDE</v>
      </c>
      <c r="D168" s="844">
        <v>2</v>
      </c>
      <c r="E168" s="844">
        <v>2</v>
      </c>
      <c r="F168" s="844">
        <f>Financeiros!H30</f>
        <v>22</v>
      </c>
      <c r="G168" s="844">
        <f>Financeiros!I30</f>
        <v>60</v>
      </c>
      <c r="H168" s="844">
        <f>Financeiros!J30</f>
        <v>242</v>
      </c>
      <c r="I168" s="844">
        <f>Financeiros!K30</f>
        <v>4</v>
      </c>
      <c r="J168" s="844">
        <f>Financeiros!L30</f>
        <v>999</v>
      </c>
      <c r="K168" s="844">
        <f>Financeiros!M30</f>
        <v>9</v>
      </c>
      <c r="L168" s="844">
        <v>99</v>
      </c>
      <c r="M168" s="844">
        <v>9</v>
      </c>
      <c r="N168" s="844">
        <v>3</v>
      </c>
      <c r="O168" s="844">
        <v>99999</v>
      </c>
      <c r="P168" s="906">
        <f t="shared" ca="1" si="6"/>
        <v>-1494125.1525960967</v>
      </c>
      <c r="Q168" s="232">
        <f ca="1">Financeiros!D30</f>
        <v>-1494125.1525960967</v>
      </c>
    </row>
    <row r="169" spans="1:17" ht="15.75">
      <c r="A169" s="844" t="s">
        <v>696</v>
      </c>
      <c r="B169" s="844" t="s">
        <v>1290</v>
      </c>
      <c r="C169" s="844" t="str">
        <f>Financeiros!C31</f>
        <v>Retenção de Adicionais de Bandeiras Tarifárias</v>
      </c>
      <c r="D169" s="844">
        <v>2</v>
      </c>
      <c r="E169" s="844">
        <v>2</v>
      </c>
      <c r="F169" s="844">
        <f>Financeiros!H31</f>
        <v>22</v>
      </c>
      <c r="G169" s="844">
        <f>Financeiros!I31</f>
        <v>60</v>
      </c>
      <c r="H169" s="844">
        <f>Financeiros!J31</f>
        <v>999</v>
      </c>
      <c r="I169" s="844">
        <f>Financeiros!K31</f>
        <v>2</v>
      </c>
      <c r="J169" s="844">
        <f>Financeiros!L31</f>
        <v>30</v>
      </c>
      <c r="K169" s="844">
        <f>Financeiros!M31</f>
        <v>9</v>
      </c>
      <c r="L169" s="844">
        <v>99</v>
      </c>
      <c r="M169" s="844">
        <v>9</v>
      </c>
      <c r="N169" s="844">
        <v>3</v>
      </c>
      <c r="O169" s="844">
        <v>99999</v>
      </c>
      <c r="P169" s="906">
        <f t="shared" si="6"/>
        <v>-95594.391468786154</v>
      </c>
      <c r="Q169" s="232">
        <f>Financeiros!D31</f>
        <v>-95594.391468786154</v>
      </c>
    </row>
    <row r="170" spans="1:17" ht="15.75">
      <c r="A170" s="844" t="s">
        <v>696</v>
      </c>
      <c r="B170" s="844" t="s">
        <v>1290</v>
      </c>
      <c r="C170" s="844" t="str">
        <f>Financeiros!C32</f>
        <v>Multa LPT</v>
      </c>
      <c r="D170" s="844">
        <v>2</v>
      </c>
      <c r="E170" s="844">
        <v>2</v>
      </c>
      <c r="F170" s="844">
        <f>Financeiros!H32</f>
        <v>22</v>
      </c>
      <c r="G170" s="844">
        <f>Financeiros!I32</f>
        <v>60</v>
      </c>
      <c r="H170" s="844">
        <f>Financeiros!J32</f>
        <v>120</v>
      </c>
      <c r="I170" s="844">
        <f>Financeiros!K32</f>
        <v>4</v>
      </c>
      <c r="J170" s="844">
        <f>Financeiros!L32</f>
        <v>999</v>
      </c>
      <c r="K170" s="844">
        <f>Financeiros!M32</f>
        <v>9</v>
      </c>
      <c r="L170" s="844">
        <v>99</v>
      </c>
      <c r="M170" s="844">
        <v>9</v>
      </c>
      <c r="N170" s="844">
        <v>3</v>
      </c>
      <c r="O170" s="844">
        <v>99999</v>
      </c>
      <c r="P170" s="906">
        <f t="shared" si="6"/>
        <v>0</v>
      </c>
      <c r="Q170" s="232">
        <f>Financeiros!D32</f>
        <v>0</v>
      </c>
    </row>
    <row r="171" spans="1:17" ht="15.75">
      <c r="A171" s="844" t="s">
        <v>696</v>
      </c>
      <c r="B171" s="844" t="s">
        <v>1290</v>
      </c>
      <c r="C171" s="844" t="str">
        <f>Financeiros!C33</f>
        <v>Repasse de ICMS CUSD</v>
      </c>
      <c r="D171" s="844">
        <v>2</v>
      </c>
      <c r="E171" s="844">
        <v>2</v>
      </c>
      <c r="F171" s="844">
        <f>Financeiros!H33</f>
        <v>22</v>
      </c>
      <c r="G171" s="844">
        <f>Financeiros!I33</f>
        <v>60</v>
      </c>
      <c r="H171" s="844">
        <f>Financeiros!J33</f>
        <v>999</v>
      </c>
      <c r="I171" s="844">
        <f>Financeiros!K33</f>
        <v>1</v>
      </c>
      <c r="J171" s="844">
        <f>Financeiros!L33</f>
        <v>7</v>
      </c>
      <c r="K171" s="844">
        <f>Financeiros!M33</f>
        <v>9</v>
      </c>
      <c r="L171" s="844">
        <v>99</v>
      </c>
      <c r="M171" s="844">
        <v>9</v>
      </c>
      <c r="N171" s="844">
        <v>3</v>
      </c>
      <c r="O171" s="844">
        <v>99999</v>
      </c>
      <c r="P171" s="906">
        <f t="shared" si="6"/>
        <v>0</v>
      </c>
      <c r="Q171" s="232">
        <f>Financeiros!D33</f>
        <v>0</v>
      </c>
    </row>
    <row r="172" spans="1:17" ht="15.75">
      <c r="A172" s="844" t="s">
        <v>696</v>
      </c>
      <c r="B172" s="844" t="s">
        <v>1290</v>
      </c>
      <c r="C172" s="844" t="str">
        <f>Financeiros!C34</f>
        <v>Repasse de ICMS TE</v>
      </c>
      <c r="D172" s="844">
        <v>2</v>
      </c>
      <c r="E172" s="844">
        <v>2</v>
      </c>
      <c r="F172" s="844">
        <f>Financeiros!H34</f>
        <v>22</v>
      </c>
      <c r="G172" s="844">
        <f>Financeiros!I34</f>
        <v>60</v>
      </c>
      <c r="H172" s="844">
        <f>Financeiros!J34</f>
        <v>999</v>
      </c>
      <c r="I172" s="844">
        <f>Financeiros!K34</f>
        <v>2</v>
      </c>
      <c r="J172" s="844">
        <f>Financeiros!L34</f>
        <v>30</v>
      </c>
      <c r="K172" s="844">
        <f>Financeiros!M34</f>
        <v>9</v>
      </c>
      <c r="L172" s="844">
        <v>99</v>
      </c>
      <c r="M172" s="844">
        <v>9</v>
      </c>
      <c r="N172" s="844">
        <v>3</v>
      </c>
      <c r="O172" s="844">
        <v>99999</v>
      </c>
      <c r="P172" s="906">
        <f t="shared" si="6"/>
        <v>0</v>
      </c>
      <c r="Q172" s="232">
        <f>Financeiros!D34</f>
        <v>0</v>
      </c>
    </row>
    <row r="173" spans="1:17" ht="15.75">
      <c r="A173" s="844" t="s">
        <v>696</v>
      </c>
      <c r="B173" s="844" t="s">
        <v>1290</v>
      </c>
      <c r="C173" s="844" t="str">
        <f>Financeiros!C35</f>
        <v>Ressarcimento P&amp;D</v>
      </c>
      <c r="D173" s="844">
        <v>2</v>
      </c>
      <c r="E173" s="844">
        <v>2</v>
      </c>
      <c r="F173" s="844">
        <f>Financeiros!H35</f>
        <v>22</v>
      </c>
      <c r="G173" s="844">
        <f>Financeiros!I35</f>
        <v>60</v>
      </c>
      <c r="H173" s="844">
        <f>Financeiros!J35</f>
        <v>999</v>
      </c>
      <c r="I173" s="844">
        <f>Financeiros!K35</f>
        <v>3</v>
      </c>
      <c r="J173" s="844">
        <f>Financeiros!L35</f>
        <v>19</v>
      </c>
      <c r="K173" s="844">
        <f>Financeiros!M35</f>
        <v>9</v>
      </c>
      <c r="L173" s="844">
        <v>99</v>
      </c>
      <c r="M173" s="844">
        <v>9</v>
      </c>
      <c r="N173" s="844">
        <v>3</v>
      </c>
      <c r="O173" s="844">
        <v>99999</v>
      </c>
      <c r="P173" s="906">
        <f t="shared" si="6"/>
        <v>0</v>
      </c>
      <c r="Q173" s="232">
        <f>Financeiros!D35</f>
        <v>0</v>
      </c>
    </row>
    <row r="174" spans="1:17" ht="15.75">
      <c r="A174" s="844" t="s">
        <v>696</v>
      </c>
      <c r="B174" s="844" t="s">
        <v>1290</v>
      </c>
      <c r="C174" s="844" t="str">
        <f>Financeiros!C36</f>
        <v>Efeito Conta COVID</v>
      </c>
      <c r="D174" s="844">
        <v>2</v>
      </c>
      <c r="E174" s="844">
        <v>2</v>
      </c>
      <c r="F174" s="844">
        <f>Financeiros!H36</f>
        <v>22</v>
      </c>
      <c r="G174" s="844">
        <f>Financeiros!I36</f>
        <v>60</v>
      </c>
      <c r="H174" s="844">
        <f>Financeiros!J36</f>
        <v>999</v>
      </c>
      <c r="I174" s="844">
        <f>Financeiros!K36</f>
        <v>4</v>
      </c>
      <c r="J174" s="844">
        <f>Financeiros!L36</f>
        <v>999</v>
      </c>
      <c r="K174" s="844">
        <f>Financeiros!M36</f>
        <v>9</v>
      </c>
      <c r="L174" s="844">
        <v>99</v>
      </c>
      <c r="M174" s="844">
        <v>9</v>
      </c>
      <c r="N174" s="844">
        <v>3</v>
      </c>
      <c r="O174" s="844">
        <v>99999</v>
      </c>
      <c r="P174" s="906">
        <f t="shared" si="6"/>
        <v>0</v>
      </c>
      <c r="Q174" s="232">
        <f>Financeiros!D36</f>
        <v>0</v>
      </c>
    </row>
    <row r="175" spans="1:17" ht="15.75">
      <c r="A175" s="844" t="s">
        <v>696</v>
      </c>
      <c r="B175" s="844" t="s">
        <v>1290</v>
      </c>
      <c r="C175" s="844" t="str">
        <f>Financeiros!C37</f>
        <v>Diferimento de Parcela B</v>
      </c>
      <c r="D175" s="844">
        <v>2</v>
      </c>
      <c r="E175" s="844">
        <v>2</v>
      </c>
      <c r="F175" s="844">
        <v>999</v>
      </c>
      <c r="G175" s="844">
        <v>999999</v>
      </c>
      <c r="H175" s="844">
        <v>999</v>
      </c>
      <c r="I175" s="844">
        <v>99</v>
      </c>
      <c r="J175" s="844">
        <v>999</v>
      </c>
      <c r="K175" s="844">
        <v>9</v>
      </c>
      <c r="L175" s="844">
        <v>99</v>
      </c>
      <c r="M175" s="844">
        <v>9</v>
      </c>
      <c r="N175" s="844">
        <v>3</v>
      </c>
      <c r="O175" s="844">
        <v>99999</v>
      </c>
      <c r="P175" s="906">
        <f t="shared" si="6"/>
        <v>0</v>
      </c>
      <c r="Q175" s="232">
        <f>Financeiros!D37</f>
        <v>0</v>
      </c>
    </row>
    <row r="176" spans="1:17" ht="15.75">
      <c r="A176" s="844" t="s">
        <v>696</v>
      </c>
      <c r="B176" s="844" t="s">
        <v>1290</v>
      </c>
      <c r="C176" s="844" t="str">
        <f>Financeiros!C38</f>
        <v>Efeito COVID da Supridora</v>
      </c>
      <c r="D176" s="844">
        <v>2</v>
      </c>
      <c r="E176" s="844">
        <v>2</v>
      </c>
      <c r="F176" s="844">
        <f>Financeiros!H38</f>
        <v>22</v>
      </c>
      <c r="G176" s="844">
        <f>Financeiros!I38</f>
        <v>60</v>
      </c>
      <c r="H176" s="844">
        <f>Financeiros!J38</f>
        <v>999</v>
      </c>
      <c r="I176" s="844">
        <f>Financeiros!K38</f>
        <v>2</v>
      </c>
      <c r="J176" s="844">
        <f>Financeiros!L38</f>
        <v>30</v>
      </c>
      <c r="K176" s="844">
        <f>Financeiros!M38</f>
        <v>9</v>
      </c>
      <c r="L176" s="844">
        <v>99</v>
      </c>
      <c r="M176" s="844">
        <v>9</v>
      </c>
      <c r="N176" s="844">
        <v>3</v>
      </c>
      <c r="O176" s="844">
        <v>99999</v>
      </c>
      <c r="P176" s="906">
        <f t="shared" si="6"/>
        <v>0</v>
      </c>
      <c r="Q176" s="232">
        <f>Financeiros!D38</f>
        <v>0</v>
      </c>
    </row>
    <row r="177" spans="1:17" ht="15.75">
      <c r="A177" s="844" t="s">
        <v>696</v>
      </c>
      <c r="B177" s="844" t="s">
        <v>1290</v>
      </c>
      <c r="C177" s="844" t="str">
        <f>Financeiros!C39</f>
        <v>Crédito de Pis Cofins sobre ICMS</v>
      </c>
      <c r="D177" s="844">
        <v>2</v>
      </c>
      <c r="E177" s="844">
        <v>2</v>
      </c>
      <c r="F177" s="844">
        <f>Financeiros!H39</f>
        <v>22</v>
      </c>
      <c r="G177" s="844">
        <f>Financeiros!I39</f>
        <v>60</v>
      </c>
      <c r="H177" s="844">
        <f>Financeiros!J39</f>
        <v>179</v>
      </c>
      <c r="I177" s="844">
        <f>Financeiros!K39</f>
        <v>99</v>
      </c>
      <c r="J177" s="844">
        <f>Financeiros!L39</f>
        <v>999</v>
      </c>
      <c r="K177" s="844">
        <f>Financeiros!M39</f>
        <v>3</v>
      </c>
      <c r="L177" s="844">
        <v>99</v>
      </c>
      <c r="M177" s="844">
        <v>9</v>
      </c>
      <c r="N177" s="844">
        <v>3</v>
      </c>
      <c r="O177" s="844">
        <v>99999</v>
      </c>
      <c r="P177" s="906">
        <f t="shared" si="6"/>
        <v>0</v>
      </c>
      <c r="Q177" s="232">
        <f>Financeiros!D39</f>
        <v>0</v>
      </c>
    </row>
    <row r="178" spans="1:17" ht="15.75">
      <c r="A178" s="844" t="s">
        <v>696</v>
      </c>
      <c r="B178" s="844" t="s">
        <v>1290</v>
      </c>
      <c r="C178" s="844" t="str">
        <f>Financeiros!C40</f>
        <v>Diferimento Pis Cofins TUSD</v>
      </c>
      <c r="D178" s="844">
        <v>2</v>
      </c>
      <c r="E178" s="844">
        <v>2</v>
      </c>
      <c r="F178" s="844">
        <f>Financeiros!H40</f>
        <v>22</v>
      </c>
      <c r="G178" s="844">
        <f>Financeiros!I40</f>
        <v>60</v>
      </c>
      <c r="H178" s="844">
        <f>Financeiros!J40</f>
        <v>999</v>
      </c>
      <c r="I178" s="844">
        <f>Financeiros!K40</f>
        <v>1</v>
      </c>
      <c r="J178" s="844">
        <f>Financeiros!L40</f>
        <v>7</v>
      </c>
      <c r="K178" s="844">
        <f>Financeiros!M40</f>
        <v>9</v>
      </c>
      <c r="L178" s="844">
        <v>99</v>
      </c>
      <c r="M178" s="844">
        <v>9</v>
      </c>
      <c r="N178" s="844">
        <v>3</v>
      </c>
      <c r="O178" s="844">
        <v>99999</v>
      </c>
      <c r="P178" s="906">
        <f t="shared" si="6"/>
        <v>0</v>
      </c>
      <c r="Q178" s="232">
        <f>Financeiros!D40</f>
        <v>0</v>
      </c>
    </row>
    <row r="179" spans="1:17" ht="15.75">
      <c r="A179" s="844" t="s">
        <v>696</v>
      </c>
      <c r="B179" s="844" t="s">
        <v>1290</v>
      </c>
      <c r="C179" s="844" t="str">
        <f>Financeiros!C41</f>
        <v>Diferimento Pis Cofins TE</v>
      </c>
      <c r="D179" s="844">
        <v>2</v>
      </c>
      <c r="E179" s="844">
        <v>2</v>
      </c>
      <c r="F179" s="844">
        <f>Financeiros!H41</f>
        <v>22</v>
      </c>
      <c r="G179" s="844">
        <f>Financeiros!I41</f>
        <v>60</v>
      </c>
      <c r="H179" s="844">
        <f>Financeiros!J41</f>
        <v>999</v>
      </c>
      <c r="I179" s="844">
        <f>Financeiros!K41</f>
        <v>2</v>
      </c>
      <c r="J179" s="844">
        <f>Financeiros!L41</f>
        <v>30</v>
      </c>
      <c r="K179" s="844">
        <f>Financeiros!M41</f>
        <v>9</v>
      </c>
      <c r="L179" s="844">
        <v>99</v>
      </c>
      <c r="M179" s="844">
        <v>9</v>
      </c>
      <c r="N179" s="844">
        <v>3</v>
      </c>
      <c r="O179" s="844">
        <v>99999</v>
      </c>
      <c r="P179" s="906">
        <f t="shared" si="6"/>
        <v>0</v>
      </c>
      <c r="Q179" s="232">
        <f>Financeiros!D41</f>
        <v>0</v>
      </c>
    </row>
    <row r="180" spans="1:17" ht="15.75">
      <c r="A180" s="844" t="s">
        <v>696</v>
      </c>
      <c r="B180" s="844" t="s">
        <v>1290</v>
      </c>
      <c r="C180" s="844" t="str">
        <f>Financeiros!C42</f>
        <v>Financeiros associados ao §7º do Art. 88 da Ren 414/2021</v>
      </c>
      <c r="D180" s="844">
        <v>2</v>
      </c>
      <c r="E180" s="844">
        <v>2</v>
      </c>
      <c r="F180" s="844">
        <f>Financeiros!H42</f>
        <v>22</v>
      </c>
      <c r="G180" s="844">
        <f>Financeiros!I42</f>
        <v>60</v>
      </c>
      <c r="H180" s="844">
        <f>Financeiros!J42</f>
        <v>999</v>
      </c>
      <c r="I180" s="844">
        <f>Financeiros!K42</f>
        <v>4</v>
      </c>
      <c r="J180" s="844">
        <f>Financeiros!L42</f>
        <v>999</v>
      </c>
      <c r="K180" s="844">
        <f>Financeiros!M42</f>
        <v>9</v>
      </c>
      <c r="L180" s="844">
        <v>99</v>
      </c>
      <c r="M180" s="844">
        <v>9</v>
      </c>
      <c r="N180" s="844">
        <v>3</v>
      </c>
      <c r="O180" s="844">
        <v>99999</v>
      </c>
      <c r="P180" s="906">
        <f t="shared" si="6"/>
        <v>0</v>
      </c>
      <c r="Q180" s="232">
        <f>Financeiros!D42</f>
        <v>0</v>
      </c>
    </row>
    <row r="181" spans="1:17" ht="15.75">
      <c r="A181" s="844" t="s">
        <v>696</v>
      </c>
      <c r="B181" s="844" t="s">
        <v>1290</v>
      </c>
      <c r="C181" s="844" t="str">
        <f>Financeiros!C43</f>
        <v>Spread Conta Covid</v>
      </c>
      <c r="D181" s="844">
        <v>2</v>
      </c>
      <c r="E181" s="844">
        <v>2</v>
      </c>
      <c r="F181" s="844">
        <f>Financeiros!H43</f>
        <v>22</v>
      </c>
      <c r="G181" s="844">
        <f>Financeiros!I43</f>
        <v>60</v>
      </c>
      <c r="H181" s="844">
        <f>Financeiros!J43</f>
        <v>235</v>
      </c>
      <c r="I181" s="844">
        <f>Financeiros!K43</f>
        <v>4</v>
      </c>
      <c r="J181" s="844">
        <f>Financeiros!L43</f>
        <v>999</v>
      </c>
      <c r="K181" s="844">
        <f>Financeiros!M43</f>
        <v>9</v>
      </c>
      <c r="L181" s="844">
        <v>99</v>
      </c>
      <c r="M181" s="844">
        <v>9</v>
      </c>
      <c r="N181" s="844">
        <v>3</v>
      </c>
      <c r="O181" s="844">
        <v>99999</v>
      </c>
      <c r="P181" s="906">
        <f t="shared" si="6"/>
        <v>0</v>
      </c>
      <c r="Q181" s="232">
        <f>Financeiros!D43</f>
        <v>0</v>
      </c>
    </row>
    <row r="182" spans="1:17" ht="15.75">
      <c r="A182" s="844" t="s">
        <v>696</v>
      </c>
      <c r="B182" s="844" t="s">
        <v>1290</v>
      </c>
      <c r="C182" s="844" t="str">
        <f>Financeiros!C44</f>
        <v>Diferimento de Energia</v>
      </c>
      <c r="D182" s="844">
        <v>2</v>
      </c>
      <c r="E182" s="844">
        <v>2</v>
      </c>
      <c r="F182" s="844">
        <f>Financeiros!H44</f>
        <v>22</v>
      </c>
      <c r="G182" s="844">
        <f>Financeiros!I44</f>
        <v>60</v>
      </c>
      <c r="H182" s="844">
        <f>Financeiros!J44</f>
        <v>999</v>
      </c>
      <c r="I182" s="844">
        <f>Financeiros!K44</f>
        <v>4</v>
      </c>
      <c r="J182" s="844">
        <f>Financeiros!L44</f>
        <v>999</v>
      </c>
      <c r="K182" s="844">
        <f>Financeiros!M44</f>
        <v>9</v>
      </c>
      <c r="L182" s="844">
        <v>99</v>
      </c>
      <c r="M182" s="844">
        <v>9</v>
      </c>
      <c r="N182" s="844">
        <v>3</v>
      </c>
      <c r="O182" s="844">
        <v>99999</v>
      </c>
      <c r="P182" s="906">
        <f t="shared" si="6"/>
        <v>0</v>
      </c>
      <c r="Q182" s="232">
        <f>Financeiros!D44</f>
        <v>0</v>
      </c>
    </row>
    <row r="183" spans="1:17" ht="15.75">
      <c r="A183" s="844" t="s">
        <v>696</v>
      </c>
      <c r="B183" s="844" t="s">
        <v>1290</v>
      </c>
      <c r="C183" s="844" t="str">
        <f>Financeiros!C45</f>
        <v xml:space="preserve">Reversão do Diferimento de Compra de Energia </v>
      </c>
      <c r="D183" s="844">
        <v>2</v>
      </c>
      <c r="E183" s="844">
        <v>2</v>
      </c>
      <c r="F183" s="844">
        <v>999</v>
      </c>
      <c r="G183" s="844">
        <v>999999</v>
      </c>
      <c r="H183" s="844">
        <v>999</v>
      </c>
      <c r="I183" s="844">
        <v>99</v>
      </c>
      <c r="J183" s="844">
        <v>999</v>
      </c>
      <c r="K183" s="844">
        <v>9</v>
      </c>
      <c r="L183" s="844">
        <v>99</v>
      </c>
      <c r="M183" s="844">
        <v>9</v>
      </c>
      <c r="N183" s="844">
        <v>3</v>
      </c>
      <c r="O183" s="844">
        <v>99999</v>
      </c>
      <c r="P183" s="906">
        <f t="shared" si="6"/>
        <v>0</v>
      </c>
      <c r="Q183" s="232">
        <f>Financeiros!D45</f>
        <v>0</v>
      </c>
    </row>
    <row r="184" spans="1:17" ht="15.75">
      <c r="A184" s="844" t="s">
        <v>696</v>
      </c>
      <c r="B184" s="844" t="s">
        <v>1290</v>
      </c>
      <c r="C184" s="844" t="str">
        <f>Financeiros!C46</f>
        <v>Reversão do Diferimento de Parcela B</v>
      </c>
      <c r="D184" s="844">
        <v>2</v>
      </c>
      <c r="E184" s="844">
        <v>2</v>
      </c>
      <c r="F184" s="844">
        <v>999</v>
      </c>
      <c r="G184" s="844">
        <v>999999</v>
      </c>
      <c r="H184" s="844">
        <v>999</v>
      </c>
      <c r="I184" s="844">
        <v>99</v>
      </c>
      <c r="J184" s="844">
        <v>999</v>
      </c>
      <c r="K184" s="844">
        <v>9</v>
      </c>
      <c r="L184" s="844">
        <v>99</v>
      </c>
      <c r="M184" s="844">
        <v>9</v>
      </c>
      <c r="N184" s="844">
        <v>3</v>
      </c>
      <c r="O184" s="844">
        <v>99999</v>
      </c>
      <c r="P184" s="906">
        <f t="shared" si="6"/>
        <v>0</v>
      </c>
      <c r="Q184" s="232">
        <f>Financeiros!D46</f>
        <v>0</v>
      </c>
    </row>
    <row r="185" spans="1:17" ht="15.75">
      <c r="A185" s="844" t="s">
        <v>696</v>
      </c>
      <c r="B185" s="844" t="s">
        <v>1290</v>
      </c>
      <c r="C185" s="844" t="str">
        <f>Financeiros!C47</f>
        <v>Reversão do Diferimento de Pis Cofins TUSD</v>
      </c>
      <c r="D185" s="844">
        <v>2</v>
      </c>
      <c r="E185" s="844">
        <v>2</v>
      </c>
      <c r="F185" s="844">
        <v>999</v>
      </c>
      <c r="G185" s="844">
        <v>999999</v>
      </c>
      <c r="H185" s="844">
        <v>999</v>
      </c>
      <c r="I185" s="844">
        <v>99</v>
      </c>
      <c r="J185" s="844">
        <v>999</v>
      </c>
      <c r="K185" s="844">
        <v>9</v>
      </c>
      <c r="L185" s="844">
        <v>99</v>
      </c>
      <c r="M185" s="844">
        <v>9</v>
      </c>
      <c r="N185" s="844">
        <v>3</v>
      </c>
      <c r="O185" s="844">
        <v>99999</v>
      </c>
      <c r="P185" s="906">
        <f t="shared" si="6"/>
        <v>0</v>
      </c>
      <c r="Q185" s="232">
        <f>Financeiros!D47</f>
        <v>0</v>
      </c>
    </row>
    <row r="186" spans="1:17" ht="15.75">
      <c r="A186" s="844" t="s">
        <v>696</v>
      </c>
      <c r="B186" s="844" t="s">
        <v>1290</v>
      </c>
      <c r="C186" s="844" t="str">
        <f>Financeiros!C48</f>
        <v>Reversão do Diferimento de Pis Cofins TE</v>
      </c>
      <c r="D186" s="844">
        <v>2</v>
      </c>
      <c r="E186" s="844">
        <v>2</v>
      </c>
      <c r="F186" s="844">
        <v>999</v>
      </c>
      <c r="G186" s="844">
        <v>999999</v>
      </c>
      <c r="H186" s="844">
        <v>999</v>
      </c>
      <c r="I186" s="844">
        <v>99</v>
      </c>
      <c r="J186" s="844">
        <v>999</v>
      </c>
      <c r="K186" s="844">
        <v>9</v>
      </c>
      <c r="L186" s="844">
        <v>99</v>
      </c>
      <c r="M186" s="844">
        <v>9</v>
      </c>
      <c r="N186" s="844">
        <v>3</v>
      </c>
      <c r="O186" s="844">
        <v>99999</v>
      </c>
      <c r="P186" s="906">
        <f t="shared" si="6"/>
        <v>0</v>
      </c>
      <c r="Q186" s="232">
        <f>Financeiros!D48</f>
        <v>0</v>
      </c>
    </row>
    <row r="187" spans="1:17" ht="15.75">
      <c r="A187" s="844" t="s">
        <v>696</v>
      </c>
      <c r="B187" s="844" t="s">
        <v>1290</v>
      </c>
      <c r="C187" s="844" t="str">
        <f>Financeiros!C49</f>
        <v>CVE ccc</v>
      </c>
      <c r="D187" s="844">
        <v>2</v>
      </c>
      <c r="E187" s="844">
        <v>2</v>
      </c>
      <c r="F187" s="844">
        <f>Financeiros!H49</f>
        <v>22</v>
      </c>
      <c r="G187" s="844">
        <f>Financeiros!I49</f>
        <v>60</v>
      </c>
      <c r="H187" s="844">
        <f>Financeiros!J49</f>
        <v>241</v>
      </c>
      <c r="I187" s="844">
        <f>Financeiros!K49</f>
        <v>3</v>
      </c>
      <c r="J187" s="844">
        <f>Financeiros!L49</f>
        <v>13</v>
      </c>
      <c r="K187" s="844">
        <f>Financeiros!M49</f>
        <v>9</v>
      </c>
      <c r="L187" s="844">
        <v>99</v>
      </c>
      <c r="M187" s="844">
        <v>9</v>
      </c>
      <c r="N187" s="844">
        <v>3</v>
      </c>
      <c r="O187" s="844">
        <v>99999</v>
      </c>
      <c r="P187" s="906">
        <f t="shared" si="6"/>
        <v>0</v>
      </c>
      <c r="Q187" s="232">
        <f>Financeiros!D49</f>
        <v>0</v>
      </c>
    </row>
    <row r="188" spans="1:17" ht="15.75">
      <c r="A188" s="844" t="s">
        <v>696</v>
      </c>
      <c r="B188" s="844" t="s">
        <v>1290</v>
      </c>
      <c r="C188" s="844" t="str">
        <f>Financeiros!C50</f>
        <v>CVE cde</v>
      </c>
      <c r="D188" s="844">
        <v>2</v>
      </c>
      <c r="E188" s="844">
        <v>2</v>
      </c>
      <c r="F188" s="844">
        <f>Financeiros!H50</f>
        <v>22</v>
      </c>
      <c r="G188" s="844">
        <f>Financeiros!I50</f>
        <v>60</v>
      </c>
      <c r="H188" s="844">
        <f>Financeiros!J50</f>
        <v>241</v>
      </c>
      <c r="I188" s="844">
        <f>Financeiros!K50</f>
        <v>3</v>
      </c>
      <c r="J188" s="844">
        <f>Financeiros!L50</f>
        <v>15</v>
      </c>
      <c r="K188" s="844">
        <f>Financeiros!M50</f>
        <v>9</v>
      </c>
      <c r="L188" s="844">
        <v>99</v>
      </c>
      <c r="M188" s="844">
        <v>9</v>
      </c>
      <c r="N188" s="844">
        <v>3</v>
      </c>
      <c r="O188" s="844">
        <v>99999</v>
      </c>
      <c r="P188" s="906">
        <f t="shared" si="6"/>
        <v>0</v>
      </c>
      <c r="Q188" s="232">
        <f>Financeiros!D50</f>
        <v>0</v>
      </c>
    </row>
    <row r="189" spans="1:17" ht="15.75">
      <c r="A189" s="844" t="s">
        <v>696</v>
      </c>
      <c r="B189" s="844" t="s">
        <v>1290</v>
      </c>
      <c r="C189" s="844" t="str">
        <f>Financeiros!C51</f>
        <v>CVE cde energia</v>
      </c>
      <c r="D189" s="844">
        <v>2</v>
      </c>
      <c r="E189" s="844">
        <v>2</v>
      </c>
      <c r="F189" s="844">
        <f>Financeiros!H51</f>
        <v>22</v>
      </c>
      <c r="G189" s="844">
        <f>Financeiros!I51</f>
        <v>60</v>
      </c>
      <c r="H189" s="844">
        <f>Financeiros!J51</f>
        <v>241</v>
      </c>
      <c r="I189" s="844">
        <f>Financeiros!K51</f>
        <v>3</v>
      </c>
      <c r="J189" s="844">
        <f>Financeiros!L51</f>
        <v>25</v>
      </c>
      <c r="K189" s="844">
        <f>Financeiros!M51</f>
        <v>9</v>
      </c>
      <c r="L189" s="844">
        <v>99</v>
      </c>
      <c r="M189" s="844">
        <v>9</v>
      </c>
      <c r="N189" s="844">
        <v>3</v>
      </c>
      <c r="O189" s="844">
        <v>99999</v>
      </c>
      <c r="P189" s="906">
        <f t="shared" si="6"/>
        <v>0</v>
      </c>
      <c r="Q189" s="232">
        <f>Financeiros!D51</f>
        <v>0</v>
      </c>
    </row>
    <row r="190" spans="1:17" ht="15.75">
      <c r="A190" s="844" t="s">
        <v>696</v>
      </c>
      <c r="B190" s="844" t="s">
        <v>1290</v>
      </c>
      <c r="C190" s="844" t="str">
        <f>Financeiros!C52</f>
        <v>CVE RB - Nodal</v>
      </c>
      <c r="D190" s="844">
        <v>2</v>
      </c>
      <c r="E190" s="844">
        <v>2</v>
      </c>
      <c r="F190" s="844">
        <f>Financeiros!H52</f>
        <v>22</v>
      </c>
      <c r="G190" s="844">
        <f>Financeiros!I52</f>
        <v>60</v>
      </c>
      <c r="H190" s="844">
        <f>Financeiros!J52</f>
        <v>241</v>
      </c>
      <c r="I190" s="844">
        <f>Financeiros!K52</f>
        <v>1</v>
      </c>
      <c r="J190" s="844">
        <f>Financeiros!L52</f>
        <v>1</v>
      </c>
      <c r="K190" s="844">
        <f>Financeiros!M52</f>
        <v>9</v>
      </c>
      <c r="L190" s="844">
        <v>99</v>
      </c>
      <c r="M190" s="844">
        <v>9</v>
      </c>
      <c r="N190" s="844">
        <v>3</v>
      </c>
      <c r="O190" s="844">
        <v>99999</v>
      </c>
      <c r="P190" s="906">
        <f t="shared" si="6"/>
        <v>0</v>
      </c>
      <c r="Q190" s="232">
        <f>Financeiros!D52</f>
        <v>0</v>
      </c>
    </row>
    <row r="191" spans="1:17" ht="15.75">
      <c r="A191" s="844" t="s">
        <v>696</v>
      </c>
      <c r="B191" s="844" t="s">
        <v>1290</v>
      </c>
      <c r="C191" s="844" t="str">
        <f>Financeiros!C53</f>
        <v>CVE RB - Fronteira</v>
      </c>
      <c r="D191" s="844">
        <v>2</v>
      </c>
      <c r="E191" s="844">
        <v>2</v>
      </c>
      <c r="F191" s="844">
        <f>Financeiros!H53</f>
        <v>22</v>
      </c>
      <c r="G191" s="844">
        <f>Financeiros!I53</f>
        <v>60</v>
      </c>
      <c r="H191" s="844">
        <f>Financeiros!J53</f>
        <v>241</v>
      </c>
      <c r="I191" s="844">
        <f>Financeiros!K53</f>
        <v>1</v>
      </c>
      <c r="J191" s="844">
        <f>Financeiros!L53</f>
        <v>1</v>
      </c>
      <c r="K191" s="844">
        <f>Financeiros!M53</f>
        <v>9</v>
      </c>
      <c r="L191" s="844">
        <v>99</v>
      </c>
      <c r="M191" s="844">
        <v>9</v>
      </c>
      <c r="N191" s="844">
        <v>3</v>
      </c>
      <c r="O191" s="844">
        <v>99999</v>
      </c>
      <c r="P191" s="906">
        <f t="shared" si="6"/>
        <v>0</v>
      </c>
      <c r="Q191" s="232">
        <f>Financeiros!D53</f>
        <v>0</v>
      </c>
    </row>
    <row r="192" spans="1:17" ht="15.75">
      <c r="A192" s="844" t="s">
        <v>696</v>
      </c>
      <c r="B192" s="844" t="s">
        <v>1290</v>
      </c>
      <c r="C192" s="844" t="str">
        <f>Financeiros!C54</f>
        <v>CVE RB - TUSDg EXP</v>
      </c>
      <c r="D192" s="844">
        <v>2</v>
      </c>
      <c r="E192" s="844">
        <v>2</v>
      </c>
      <c r="F192" s="844">
        <f>Financeiros!H54</f>
        <v>22</v>
      </c>
      <c r="G192" s="844">
        <f>Financeiros!I54</f>
        <v>60</v>
      </c>
      <c r="H192" s="844">
        <f>Financeiros!J54</f>
        <v>241</v>
      </c>
      <c r="I192" s="844">
        <f>Financeiros!K54</f>
        <v>1</v>
      </c>
      <c r="J192" s="844">
        <f>Financeiros!L54</f>
        <v>1</v>
      </c>
      <c r="K192" s="844">
        <f>Financeiros!M54</f>
        <v>9</v>
      </c>
      <c r="L192" s="844">
        <v>99</v>
      </c>
      <c r="M192" s="844">
        <v>9</v>
      </c>
      <c r="N192" s="844">
        <v>3</v>
      </c>
      <c r="O192" s="844">
        <v>99999</v>
      </c>
      <c r="P192" s="906">
        <f t="shared" si="6"/>
        <v>0</v>
      </c>
      <c r="Q192" s="232">
        <f>Financeiros!D54</f>
        <v>0</v>
      </c>
    </row>
    <row r="193" spans="1:17" ht="15.75">
      <c r="A193" s="844" t="s">
        <v>696</v>
      </c>
      <c r="B193" s="844" t="s">
        <v>1290</v>
      </c>
      <c r="C193" s="844" t="str">
        <f>Financeiros!C55</f>
        <v>CVE RB - TUSDg ONS</v>
      </c>
      <c r="D193" s="844">
        <v>2</v>
      </c>
      <c r="E193" s="844">
        <v>2</v>
      </c>
      <c r="F193" s="844">
        <f>Financeiros!H55</f>
        <v>22</v>
      </c>
      <c r="G193" s="844">
        <f>Financeiros!I55</f>
        <v>60</v>
      </c>
      <c r="H193" s="844">
        <f>Financeiros!J55</f>
        <v>241</v>
      </c>
      <c r="I193" s="844">
        <f>Financeiros!K55</f>
        <v>1</v>
      </c>
      <c r="J193" s="844">
        <f>Financeiros!L55</f>
        <v>1</v>
      </c>
      <c r="K193" s="844">
        <f>Financeiros!M55</f>
        <v>9</v>
      </c>
      <c r="L193" s="844">
        <v>99</v>
      </c>
      <c r="M193" s="844">
        <v>9</v>
      </c>
      <c r="N193" s="844">
        <v>3</v>
      </c>
      <c r="O193" s="844">
        <v>99999</v>
      </c>
      <c r="P193" s="906">
        <f t="shared" si="6"/>
        <v>0</v>
      </c>
      <c r="Q193" s="232">
        <f>Financeiros!D55</f>
        <v>0</v>
      </c>
    </row>
    <row r="194" spans="1:17" ht="15.75">
      <c r="A194" s="844" t="s">
        <v>696</v>
      </c>
      <c r="B194" s="844" t="s">
        <v>1290</v>
      </c>
      <c r="C194" s="844" t="str">
        <f>Financeiros!C56</f>
        <v>CVE RB - EUST Itaipu</v>
      </c>
      <c r="D194" s="844">
        <v>2</v>
      </c>
      <c r="E194" s="844">
        <v>2</v>
      </c>
      <c r="F194" s="844">
        <f>Financeiros!H56</f>
        <v>22</v>
      </c>
      <c r="G194" s="844">
        <f>Financeiros!I56</f>
        <v>60</v>
      </c>
      <c r="H194" s="844">
        <f>Financeiros!J56</f>
        <v>241</v>
      </c>
      <c r="I194" s="844">
        <f>Financeiros!K56</f>
        <v>1</v>
      </c>
      <c r="J194" s="844">
        <f>Financeiros!L56</f>
        <v>1</v>
      </c>
      <c r="K194" s="844">
        <f>Financeiros!M56</f>
        <v>9</v>
      </c>
      <c r="L194" s="844">
        <v>99</v>
      </c>
      <c r="M194" s="844">
        <v>9</v>
      </c>
      <c r="N194" s="844">
        <v>3</v>
      </c>
      <c r="O194" s="844">
        <v>99999</v>
      </c>
      <c r="P194" s="906">
        <f t="shared" si="6"/>
        <v>0</v>
      </c>
      <c r="Q194" s="232">
        <f>Financeiros!D56</f>
        <v>0</v>
      </c>
    </row>
    <row r="195" spans="1:17" ht="15.75">
      <c r="A195" s="844" t="s">
        <v>696</v>
      </c>
      <c r="B195" s="844" t="s">
        <v>1290</v>
      </c>
      <c r="C195" s="844" t="str">
        <f>Financeiros!C57</f>
        <v>CVE- Transporte Itaipu</v>
      </c>
      <c r="D195" s="844">
        <v>2</v>
      </c>
      <c r="E195" s="844">
        <v>2</v>
      </c>
      <c r="F195" s="844">
        <f>Financeiros!H57</f>
        <v>22</v>
      </c>
      <c r="G195" s="844">
        <f>Financeiros!I57</f>
        <v>60</v>
      </c>
      <c r="H195" s="844">
        <f>Financeiros!J57</f>
        <v>241</v>
      </c>
      <c r="I195" s="844">
        <f>Financeiros!K57</f>
        <v>1</v>
      </c>
      <c r="J195" s="844">
        <f>Financeiros!L57</f>
        <v>21</v>
      </c>
      <c r="K195" s="844">
        <f>Financeiros!M57</f>
        <v>9</v>
      </c>
      <c r="L195" s="844">
        <v>99</v>
      </c>
      <c r="M195" s="844">
        <v>9</v>
      </c>
      <c r="N195" s="844">
        <v>3</v>
      </c>
      <c r="O195" s="844">
        <v>99999</v>
      </c>
      <c r="P195" s="906">
        <f t="shared" si="6"/>
        <v>0</v>
      </c>
      <c r="Q195" s="232">
        <f>Financeiros!D57</f>
        <v>0</v>
      </c>
    </row>
    <row r="196" spans="1:17" ht="15.75">
      <c r="A196" s="844" t="s">
        <v>696</v>
      </c>
      <c r="B196" s="844" t="s">
        <v>1290</v>
      </c>
      <c r="C196" s="844" t="str">
        <f>Financeiros!C58</f>
        <v>CVE - Energia - Energia de Revenda</v>
      </c>
      <c r="D196" s="844">
        <v>2</v>
      </c>
      <c r="E196" s="844">
        <v>2</v>
      </c>
      <c r="F196" s="844">
        <f>Financeiros!H58</f>
        <v>22</v>
      </c>
      <c r="G196" s="844">
        <f>Financeiros!I58</f>
        <v>60</v>
      </c>
      <c r="H196" s="844">
        <f>Financeiros!J58</f>
        <v>241</v>
      </c>
      <c r="I196" s="844">
        <f>Financeiros!K58</f>
        <v>2</v>
      </c>
      <c r="J196" s="844">
        <f>Financeiros!L58</f>
        <v>11</v>
      </c>
      <c r="K196" s="844">
        <f>Financeiros!M58</f>
        <v>9</v>
      </c>
      <c r="L196" s="844">
        <v>99</v>
      </c>
      <c r="M196" s="844">
        <v>9</v>
      </c>
      <c r="N196" s="844">
        <v>3</v>
      </c>
      <c r="O196" s="844">
        <v>99999</v>
      </c>
      <c r="P196" s="906">
        <f t="shared" ca="1" si="6"/>
        <v>0</v>
      </c>
      <c r="Q196" s="232">
        <f ca="1">Financeiros!D58</f>
        <v>0</v>
      </c>
    </row>
    <row r="197" spans="1:17" ht="15.75">
      <c r="A197" s="844" t="s">
        <v>696</v>
      </c>
      <c r="B197" s="844" t="s">
        <v>1290</v>
      </c>
      <c r="C197" s="844" t="str">
        <f>Financeiros!C59</f>
        <v>CVE - Energia - Perda Não Técnica</v>
      </c>
      <c r="D197" s="844">
        <v>2</v>
      </c>
      <c r="E197" s="844">
        <v>2</v>
      </c>
      <c r="F197" s="844">
        <f>Financeiros!H59</f>
        <v>22</v>
      </c>
      <c r="G197" s="844">
        <f>Financeiros!I59</f>
        <v>60</v>
      </c>
      <c r="H197" s="844">
        <f>Financeiros!J59</f>
        <v>241</v>
      </c>
      <c r="I197" s="844">
        <f>Financeiros!K59</f>
        <v>2</v>
      </c>
      <c r="J197" s="844">
        <f>Financeiros!L59</f>
        <v>9</v>
      </c>
      <c r="K197" s="844">
        <f>Financeiros!M59</f>
        <v>9</v>
      </c>
      <c r="L197" s="844">
        <v>99</v>
      </c>
      <c r="M197" s="844">
        <v>9</v>
      </c>
      <c r="N197" s="844">
        <v>3</v>
      </c>
      <c r="O197" s="844">
        <v>99999</v>
      </c>
      <c r="P197" s="906">
        <f t="shared" ca="1" si="6"/>
        <v>0</v>
      </c>
      <c r="Q197" s="232">
        <f ca="1">Financeiros!D59</f>
        <v>0</v>
      </c>
    </row>
    <row r="198" spans="1:17" ht="15.75">
      <c r="A198" s="844" t="s">
        <v>696</v>
      </c>
      <c r="B198" s="844" t="s">
        <v>1290</v>
      </c>
      <c r="C198" s="844" t="str">
        <f>Financeiros!C60</f>
        <v>CVE - Energia - Perda Técnica</v>
      </c>
      <c r="D198" s="844">
        <v>2</v>
      </c>
      <c r="E198" s="844">
        <v>2</v>
      </c>
      <c r="F198" s="844">
        <f>Financeiros!H60</f>
        <v>22</v>
      </c>
      <c r="G198" s="844">
        <f>Financeiros!I60</f>
        <v>60</v>
      </c>
      <c r="H198" s="844">
        <f>Financeiros!J60</f>
        <v>241</v>
      </c>
      <c r="I198" s="844">
        <f>Financeiros!K60</f>
        <v>2</v>
      </c>
      <c r="J198" s="844">
        <f>Financeiros!L60</f>
        <v>8</v>
      </c>
      <c r="K198" s="844">
        <f>Financeiros!M60</f>
        <v>9</v>
      </c>
      <c r="L198" s="844">
        <v>99</v>
      </c>
      <c r="M198" s="844">
        <v>9</v>
      </c>
      <c r="N198" s="844">
        <v>3</v>
      </c>
      <c r="O198" s="844">
        <v>99999</v>
      </c>
      <c r="P198" s="906">
        <f t="shared" ca="1" si="6"/>
        <v>0</v>
      </c>
      <c r="Q198" s="232">
        <f ca="1">Financeiros!D60</f>
        <v>0</v>
      </c>
    </row>
    <row r="199" spans="1:17" ht="15.75">
      <c r="A199" s="844" t="s">
        <v>696</v>
      </c>
      <c r="B199" s="844" t="s">
        <v>1290</v>
      </c>
      <c r="C199" s="844" t="str">
        <f>Financeiros!C61</f>
        <v>CVE - Energia -  Perda de RB sobre a distribuição</v>
      </c>
      <c r="D199" s="844">
        <v>2</v>
      </c>
      <c r="E199" s="844">
        <v>2</v>
      </c>
      <c r="F199" s="844">
        <f>Financeiros!H61</f>
        <v>22</v>
      </c>
      <c r="G199" s="844">
        <f>Financeiros!I61</f>
        <v>60</v>
      </c>
      <c r="H199" s="844">
        <f>Financeiros!J61</f>
        <v>241</v>
      </c>
      <c r="I199" s="844">
        <f>Financeiros!K61</f>
        <v>2</v>
      </c>
      <c r="J199" s="844">
        <f>Financeiros!L61</f>
        <v>10</v>
      </c>
      <c r="K199" s="844">
        <f>Financeiros!M61</f>
        <v>9</v>
      </c>
      <c r="L199" s="844">
        <v>99</v>
      </c>
      <c r="M199" s="844">
        <v>9</v>
      </c>
      <c r="N199" s="844">
        <v>3</v>
      </c>
      <c r="O199" s="844">
        <v>99999</v>
      </c>
      <c r="P199" s="906">
        <f t="shared" ca="1" si="6"/>
        <v>0</v>
      </c>
      <c r="Q199" s="232">
        <f ca="1">Financeiros!D61</f>
        <v>0</v>
      </c>
    </row>
    <row r="200" spans="1:17" ht="15.75">
      <c r="A200" s="844" t="s">
        <v>696</v>
      </c>
      <c r="B200" s="844" t="s">
        <v>1290</v>
      </c>
      <c r="C200" s="844" t="str">
        <f>Financeiros!C62</f>
        <v>CVE - Energia -  Perda de RB sobre o mercado cativo</v>
      </c>
      <c r="D200" s="844">
        <v>2</v>
      </c>
      <c r="E200" s="844">
        <v>2</v>
      </c>
      <c r="F200" s="844">
        <f>Financeiros!H62</f>
        <v>22</v>
      </c>
      <c r="G200" s="844">
        <f>Financeiros!I62</f>
        <v>60</v>
      </c>
      <c r="H200" s="844">
        <f>Financeiros!J62</f>
        <v>241</v>
      </c>
      <c r="I200" s="844">
        <f>Financeiros!K62</f>
        <v>2</v>
      </c>
      <c r="J200" s="844">
        <f>Financeiros!L62</f>
        <v>24</v>
      </c>
      <c r="K200" s="844">
        <f>Financeiros!M62</f>
        <v>9</v>
      </c>
      <c r="L200" s="844">
        <v>99</v>
      </c>
      <c r="M200" s="844">
        <v>9</v>
      </c>
      <c r="N200" s="844">
        <v>3</v>
      </c>
      <c r="O200" s="844">
        <v>99999</v>
      </c>
      <c r="P200" s="906">
        <f t="shared" ca="1" si="6"/>
        <v>0</v>
      </c>
      <c r="Q200" s="232">
        <f ca="1">Financeiros!D62</f>
        <v>0</v>
      </c>
    </row>
    <row r="201" spans="1:17" ht="15.75">
      <c r="A201" s="844" t="s">
        <v>696</v>
      </c>
      <c r="B201" s="844" t="s">
        <v>1290</v>
      </c>
      <c r="C201" s="844" t="str">
        <f>Financeiros!C63</f>
        <v>CVE - Encargos - PROINFA</v>
      </c>
      <c r="D201" s="844">
        <v>2</v>
      </c>
      <c r="E201" s="844">
        <v>2</v>
      </c>
      <c r="F201" s="844">
        <f>Financeiros!H63</f>
        <v>22</v>
      </c>
      <c r="G201" s="844">
        <f>Financeiros!I63</f>
        <v>60</v>
      </c>
      <c r="H201" s="844">
        <f>Financeiros!J63</f>
        <v>241</v>
      </c>
      <c r="I201" s="844">
        <f>Financeiros!K63</f>
        <v>3</v>
      </c>
      <c r="J201" s="844">
        <f>Financeiros!L63</f>
        <v>18</v>
      </c>
      <c r="K201" s="844">
        <f>Financeiros!M63</f>
        <v>9</v>
      </c>
      <c r="L201" s="844">
        <v>99</v>
      </c>
      <c r="M201" s="844">
        <v>9</v>
      </c>
      <c r="N201" s="844">
        <v>3</v>
      </c>
      <c r="O201" s="844">
        <v>99999</v>
      </c>
      <c r="P201" s="906">
        <f t="shared" si="6"/>
        <v>0</v>
      </c>
      <c r="Q201" s="232">
        <f>Financeiros!D63</f>
        <v>0</v>
      </c>
    </row>
    <row r="202" spans="1:17" ht="15.75">
      <c r="A202" s="844" t="s">
        <v>696</v>
      </c>
      <c r="B202" s="844" t="s">
        <v>1290</v>
      </c>
      <c r="C202" s="844" t="str">
        <f>Financeiros!C64</f>
        <v>CVE - Encargos - CFURH</v>
      </c>
      <c r="D202" s="844">
        <v>2</v>
      </c>
      <c r="E202" s="844">
        <v>2</v>
      </c>
      <c r="F202" s="844">
        <f>Financeiros!H64</f>
        <v>22</v>
      </c>
      <c r="G202" s="844">
        <f>Financeiros!I64</f>
        <v>60</v>
      </c>
      <c r="H202" s="844">
        <f>Financeiros!J64</f>
        <v>241</v>
      </c>
      <c r="I202" s="844">
        <f>Financeiros!K64</f>
        <v>3</v>
      </c>
      <c r="J202" s="844">
        <f>Financeiros!L64</f>
        <v>16</v>
      </c>
      <c r="K202" s="844">
        <f>Financeiros!M64</f>
        <v>9</v>
      </c>
      <c r="L202" s="844">
        <v>99</v>
      </c>
      <c r="M202" s="844">
        <v>9</v>
      </c>
      <c r="N202" s="844">
        <v>3</v>
      </c>
      <c r="O202" s="844">
        <v>99999</v>
      </c>
      <c r="P202" s="906">
        <f t="shared" si="6"/>
        <v>0</v>
      </c>
      <c r="Q202" s="232">
        <f>Financeiros!D64</f>
        <v>0</v>
      </c>
    </row>
    <row r="203" spans="1:17" ht="15.75">
      <c r="A203" s="844" t="s">
        <v>696</v>
      </c>
      <c r="B203" s="844" t="s">
        <v>1290</v>
      </c>
      <c r="C203" s="844" t="str">
        <f>Financeiros!C65</f>
        <v>CVE - Encargos - ESS/EER</v>
      </c>
      <c r="D203" s="844">
        <v>2</v>
      </c>
      <c r="E203" s="844">
        <v>2</v>
      </c>
      <c r="F203" s="844">
        <f>Financeiros!H65</f>
        <v>22</v>
      </c>
      <c r="G203" s="844">
        <f>Financeiros!I65</f>
        <v>60</v>
      </c>
      <c r="H203" s="844">
        <f>Financeiros!J65</f>
        <v>241</v>
      </c>
      <c r="I203" s="844">
        <f>Financeiros!K65</f>
        <v>3</v>
      </c>
      <c r="J203" s="844">
        <f>Financeiros!L65</f>
        <v>17</v>
      </c>
      <c r="K203" s="844">
        <f>Financeiros!M65</f>
        <v>9</v>
      </c>
      <c r="L203" s="844">
        <v>99</v>
      </c>
      <c r="M203" s="844">
        <v>9</v>
      </c>
      <c r="N203" s="844">
        <v>3</v>
      </c>
      <c r="O203" s="844">
        <v>99999</v>
      </c>
      <c r="P203" s="906">
        <f t="shared" si="6"/>
        <v>0</v>
      </c>
      <c r="Q203" s="232">
        <f>Financeiros!D65</f>
        <v>0</v>
      </c>
    </row>
    <row r="204" spans="1:17" ht="15.75">
      <c r="A204" s="844" t="s">
        <v>696</v>
      </c>
      <c r="B204" s="844" t="s">
        <v>1290</v>
      </c>
      <c r="C204" s="844" t="str">
        <f>Financeiros!C66</f>
        <v>Conta Escassez H. - Importação julho- agosto/2021 - RTA 2022 - Energia de Revenda</v>
      </c>
      <c r="D204" s="844">
        <v>2</v>
      </c>
      <c r="E204" s="844">
        <v>2</v>
      </c>
      <c r="F204" s="844">
        <f>Financeiros!H66</f>
        <v>22</v>
      </c>
      <c r="G204" s="844">
        <f>Financeiros!I66</f>
        <v>60</v>
      </c>
      <c r="H204" s="844">
        <f>Financeiros!J66</f>
        <v>240</v>
      </c>
      <c r="I204" s="844">
        <f>Financeiros!K66</f>
        <v>2</v>
      </c>
      <c r="J204" s="844">
        <f>Financeiros!L66</f>
        <v>11</v>
      </c>
      <c r="K204" s="844">
        <f>Financeiros!M66</f>
        <v>9</v>
      </c>
      <c r="L204" s="844">
        <v>99</v>
      </c>
      <c r="M204" s="844">
        <v>9</v>
      </c>
      <c r="N204" s="844">
        <v>3</v>
      </c>
      <c r="O204" s="844">
        <v>99999</v>
      </c>
      <c r="P204" s="906">
        <f t="shared" ca="1" si="6"/>
        <v>0</v>
      </c>
      <c r="Q204" s="232">
        <f ca="1">Financeiros!D66</f>
        <v>0</v>
      </c>
    </row>
    <row r="205" spans="1:17" ht="15.75">
      <c r="A205" s="844" t="s">
        <v>696</v>
      </c>
      <c r="B205" s="844" t="s">
        <v>1290</v>
      </c>
      <c r="C205" s="844" t="str">
        <f>Financeiros!C67</f>
        <v>Conta Escassez H. - Importação julho- agosto/2021 - RTA 2022 - Perda Não Técnica</v>
      </c>
      <c r="D205" s="844">
        <v>2</v>
      </c>
      <c r="E205" s="844">
        <v>2</v>
      </c>
      <c r="F205" s="844">
        <f>Financeiros!H67</f>
        <v>22</v>
      </c>
      <c r="G205" s="844">
        <f>Financeiros!I67</f>
        <v>60</v>
      </c>
      <c r="H205" s="844">
        <f>Financeiros!J67</f>
        <v>240</v>
      </c>
      <c r="I205" s="844">
        <f>Financeiros!K67</f>
        <v>2</v>
      </c>
      <c r="J205" s="844">
        <f>Financeiros!L67</f>
        <v>9</v>
      </c>
      <c r="K205" s="844">
        <f>Financeiros!M67</f>
        <v>9</v>
      </c>
      <c r="L205" s="844">
        <v>99</v>
      </c>
      <c r="M205" s="844">
        <v>9</v>
      </c>
      <c r="N205" s="844">
        <v>3</v>
      </c>
      <c r="O205" s="844">
        <v>99999</v>
      </c>
      <c r="P205" s="906">
        <f t="shared" ca="1" si="6"/>
        <v>0</v>
      </c>
      <c r="Q205" s="232">
        <f ca="1">Financeiros!D67</f>
        <v>0</v>
      </c>
    </row>
    <row r="206" spans="1:17" ht="15.75">
      <c r="A206" s="844" t="s">
        <v>696</v>
      </c>
      <c r="B206" s="844" t="s">
        <v>1290</v>
      </c>
      <c r="C206" s="844" t="str">
        <f>Financeiros!C68</f>
        <v>Conta Escassez H. - Importação julho- agosto/2021 - RTA 2022 - Perda Técnica</v>
      </c>
      <c r="D206" s="844">
        <v>2</v>
      </c>
      <c r="E206" s="844">
        <v>2</v>
      </c>
      <c r="F206" s="844">
        <f>Financeiros!H68</f>
        <v>22</v>
      </c>
      <c r="G206" s="844">
        <f>Financeiros!I68</f>
        <v>60</v>
      </c>
      <c r="H206" s="844">
        <f>Financeiros!J68</f>
        <v>240</v>
      </c>
      <c r="I206" s="844">
        <f>Financeiros!K68</f>
        <v>2</v>
      </c>
      <c r="J206" s="844">
        <f>Financeiros!L68</f>
        <v>8</v>
      </c>
      <c r="K206" s="844">
        <f>Financeiros!M68</f>
        <v>9</v>
      </c>
      <c r="L206" s="844">
        <v>99</v>
      </c>
      <c r="M206" s="844">
        <v>9</v>
      </c>
      <c r="N206" s="844">
        <v>3</v>
      </c>
      <c r="O206" s="844">
        <v>99999</v>
      </c>
      <c r="P206" s="906">
        <f t="shared" ca="1" si="6"/>
        <v>0</v>
      </c>
      <c r="Q206" s="232">
        <f ca="1">Financeiros!D68</f>
        <v>0</v>
      </c>
    </row>
    <row r="207" spans="1:17" ht="15.75">
      <c r="A207" s="844" t="s">
        <v>696</v>
      </c>
      <c r="B207" s="844" t="s">
        <v>1290</v>
      </c>
      <c r="C207" s="844" t="str">
        <f>Financeiros!C69</f>
        <v>Conta Escassez H. - Importação julho- agosto/2021 - RTA 2022 - Perda RB Perda RB sobre Dist.</v>
      </c>
      <c r="D207" s="844">
        <v>2</v>
      </c>
      <c r="E207" s="844">
        <v>2</v>
      </c>
      <c r="F207" s="844">
        <f>Financeiros!H69</f>
        <v>22</v>
      </c>
      <c r="G207" s="844">
        <f>Financeiros!I69</f>
        <v>60</v>
      </c>
      <c r="H207" s="844">
        <f>Financeiros!J69</f>
        <v>240</v>
      </c>
      <c r="I207" s="844">
        <f>Financeiros!K69</f>
        <v>2</v>
      </c>
      <c r="J207" s="844">
        <f>Financeiros!L69</f>
        <v>10</v>
      </c>
      <c r="K207" s="844">
        <f>Financeiros!M69</f>
        <v>9</v>
      </c>
      <c r="L207" s="844">
        <v>99</v>
      </c>
      <c r="M207" s="844">
        <v>9</v>
      </c>
      <c r="N207" s="844">
        <v>3</v>
      </c>
      <c r="O207" s="844">
        <v>99999</v>
      </c>
      <c r="P207" s="906">
        <f t="shared" ca="1" si="6"/>
        <v>0</v>
      </c>
      <c r="Q207" s="232">
        <f ca="1">Financeiros!D69</f>
        <v>0</v>
      </c>
    </row>
    <row r="208" spans="1:17" ht="15.75">
      <c r="A208" s="844" t="s">
        <v>696</v>
      </c>
      <c r="B208" s="844" t="s">
        <v>1290</v>
      </c>
      <c r="C208" s="844" t="str">
        <f>Financeiros!C70</f>
        <v>Conta Escassez H. - Importação julho- agosto/2021 - RTA 2022 - Perda RB sobre Merc. Cat.</v>
      </c>
      <c r="D208" s="844">
        <v>2</v>
      </c>
      <c r="E208" s="844">
        <v>2</v>
      </c>
      <c r="F208" s="844">
        <f>Financeiros!H70</f>
        <v>22</v>
      </c>
      <c r="G208" s="844">
        <f>Financeiros!I70</f>
        <v>60</v>
      </c>
      <c r="H208" s="844">
        <f>Financeiros!J70</f>
        <v>240</v>
      </c>
      <c r="I208" s="844">
        <f>Financeiros!K70</f>
        <v>2</v>
      </c>
      <c r="J208" s="844">
        <f>Financeiros!L70</f>
        <v>24</v>
      </c>
      <c r="K208" s="844">
        <f>Financeiros!M70</f>
        <v>9</v>
      </c>
      <c r="L208" s="844">
        <v>99</v>
      </c>
      <c r="M208" s="844">
        <v>9</v>
      </c>
      <c r="N208" s="844">
        <v>3</v>
      </c>
      <c r="O208" s="844">
        <v>99999</v>
      </c>
      <c r="P208" s="906">
        <f t="shared" ca="1" si="6"/>
        <v>0</v>
      </c>
      <c r="Q208" s="232">
        <f ca="1">Financeiros!D70</f>
        <v>0</v>
      </c>
    </row>
    <row r="209" spans="1:17" ht="15.75">
      <c r="A209" s="844" t="s">
        <v>696</v>
      </c>
      <c r="B209" s="844" t="s">
        <v>1290</v>
      </c>
      <c r="C209" s="844" t="str">
        <f>Financeiros!C71</f>
        <v>Conta Escassez H. - Bônus Redução Voluntária</v>
      </c>
      <c r="D209" s="844">
        <v>2</v>
      </c>
      <c r="E209" s="844">
        <v>2</v>
      </c>
      <c r="F209" s="844">
        <f>Financeiros!H71</f>
        <v>22</v>
      </c>
      <c r="G209" s="844">
        <f>Financeiros!I71</f>
        <v>60</v>
      </c>
      <c r="H209" s="844">
        <f>Financeiros!J71</f>
        <v>240</v>
      </c>
      <c r="I209" s="844">
        <f>Financeiros!K71</f>
        <v>3</v>
      </c>
      <c r="J209" s="844">
        <f>Financeiros!L71</f>
        <v>17</v>
      </c>
      <c r="K209" s="844">
        <f>Financeiros!M71</f>
        <v>9</v>
      </c>
      <c r="L209" s="844">
        <v>99</v>
      </c>
      <c r="M209" s="844">
        <v>9</v>
      </c>
      <c r="N209" s="844">
        <v>3</v>
      </c>
      <c r="O209" s="844">
        <v>99999</v>
      </c>
      <c r="P209" s="906">
        <f t="shared" si="6"/>
        <v>0</v>
      </c>
      <c r="Q209" s="232">
        <f>Financeiros!D71</f>
        <v>0</v>
      </c>
    </row>
    <row r="210" spans="1:17" ht="15.75">
      <c r="A210" s="844" t="s">
        <v>696</v>
      </c>
      <c r="B210" s="844" t="s">
        <v>1290</v>
      </c>
      <c r="C210" s="844" t="str">
        <f>Financeiros!C72</f>
        <v>Conta Escassez H. - Diferimento de energia - RTA 2022 - Energia de Revenda</v>
      </c>
      <c r="D210" s="844">
        <v>2</v>
      </c>
      <c r="E210" s="844">
        <v>2</v>
      </c>
      <c r="F210" s="844">
        <f>Financeiros!H72</f>
        <v>22</v>
      </c>
      <c r="G210" s="844">
        <f>Financeiros!I72</f>
        <v>60</v>
      </c>
      <c r="H210" s="844">
        <f>Financeiros!J72</f>
        <v>240</v>
      </c>
      <c r="I210" s="844">
        <f>Financeiros!K72</f>
        <v>2</v>
      </c>
      <c r="J210" s="844">
        <f>Financeiros!L72</f>
        <v>11</v>
      </c>
      <c r="K210" s="844">
        <f>Financeiros!M72</f>
        <v>9</v>
      </c>
      <c r="L210" s="844">
        <v>99</v>
      </c>
      <c r="M210" s="844">
        <v>9</v>
      </c>
      <c r="N210" s="844">
        <v>3</v>
      </c>
      <c r="O210" s="844">
        <v>99999</v>
      </c>
      <c r="P210" s="906">
        <f t="shared" ca="1" si="6"/>
        <v>0</v>
      </c>
      <c r="Q210" s="232">
        <f ca="1">Financeiros!D72</f>
        <v>0</v>
      </c>
    </row>
    <row r="211" spans="1:17" ht="15.75">
      <c r="A211" s="844" t="s">
        <v>696</v>
      </c>
      <c r="B211" s="844" t="s">
        <v>1290</v>
      </c>
      <c r="C211" s="844" t="str">
        <f>Financeiros!C73</f>
        <v>Conta Escassez H. - Diferimento de energia - RTA 2022 - Perda Não Técnica</v>
      </c>
      <c r="D211" s="844">
        <v>2</v>
      </c>
      <c r="E211" s="844">
        <v>2</v>
      </c>
      <c r="F211" s="844">
        <f>Financeiros!H73</f>
        <v>22</v>
      </c>
      <c r="G211" s="844">
        <f>Financeiros!I73</f>
        <v>60</v>
      </c>
      <c r="H211" s="844">
        <f>Financeiros!J73</f>
        <v>240</v>
      </c>
      <c r="I211" s="844">
        <f>Financeiros!K73</f>
        <v>2</v>
      </c>
      <c r="J211" s="844">
        <f>Financeiros!L73</f>
        <v>9</v>
      </c>
      <c r="K211" s="844">
        <f>Financeiros!M73</f>
        <v>9</v>
      </c>
      <c r="L211" s="844">
        <v>99</v>
      </c>
      <c r="M211" s="844">
        <v>9</v>
      </c>
      <c r="N211" s="844">
        <v>3</v>
      </c>
      <c r="O211" s="844">
        <v>99999</v>
      </c>
      <c r="P211" s="906">
        <f t="shared" ca="1" si="6"/>
        <v>0</v>
      </c>
      <c r="Q211" s="232">
        <f ca="1">Financeiros!D73</f>
        <v>0</v>
      </c>
    </row>
    <row r="212" spans="1:17" ht="15.75">
      <c r="A212" s="844" t="s">
        <v>696</v>
      </c>
      <c r="B212" s="844" t="s">
        <v>1290</v>
      </c>
      <c r="C212" s="844" t="str">
        <f>Financeiros!C74</f>
        <v>Conta Escassez H. - Diferimento de energia - RTA 2022 - Perda Técnica</v>
      </c>
      <c r="D212" s="844">
        <v>2</v>
      </c>
      <c r="E212" s="844">
        <v>2</v>
      </c>
      <c r="F212" s="844">
        <f>Financeiros!H74</f>
        <v>22</v>
      </c>
      <c r="G212" s="844">
        <f>Financeiros!I74</f>
        <v>60</v>
      </c>
      <c r="H212" s="844">
        <f>Financeiros!J74</f>
        <v>240</v>
      </c>
      <c r="I212" s="844">
        <f>Financeiros!K74</f>
        <v>2</v>
      </c>
      <c r="J212" s="844">
        <f>Financeiros!L74</f>
        <v>8</v>
      </c>
      <c r="K212" s="844">
        <f>Financeiros!M74</f>
        <v>9</v>
      </c>
      <c r="L212" s="844">
        <v>99</v>
      </c>
      <c r="M212" s="844">
        <v>9</v>
      </c>
      <c r="N212" s="844">
        <v>3</v>
      </c>
      <c r="O212" s="844">
        <v>99999</v>
      </c>
      <c r="P212" s="906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4" t="s">
        <v>696</v>
      </c>
      <c r="B213" s="844" t="s">
        <v>1290</v>
      </c>
      <c r="C213" s="844" t="str">
        <f>Financeiros!C75</f>
        <v>Conta Escassez H. - Diferimento de energia - RTA 2022 - Perda RB Perda RB sobre Dist.</v>
      </c>
      <c r="D213" s="844">
        <v>2</v>
      </c>
      <c r="E213" s="844">
        <v>2</v>
      </c>
      <c r="F213" s="844">
        <f>Financeiros!H75</f>
        <v>22</v>
      </c>
      <c r="G213" s="844">
        <f>Financeiros!I75</f>
        <v>60</v>
      </c>
      <c r="H213" s="844">
        <f>Financeiros!J75</f>
        <v>240</v>
      </c>
      <c r="I213" s="844">
        <f>Financeiros!K75</f>
        <v>2</v>
      </c>
      <c r="J213" s="844">
        <f>Financeiros!L75</f>
        <v>10</v>
      </c>
      <c r="K213" s="844">
        <f>Financeiros!M75</f>
        <v>9</v>
      </c>
      <c r="L213" s="844">
        <v>99</v>
      </c>
      <c r="M213" s="844">
        <v>9</v>
      </c>
      <c r="N213" s="844">
        <v>3</v>
      </c>
      <c r="O213" s="844">
        <v>99999</v>
      </c>
      <c r="P213" s="906">
        <f t="shared" ca="1" si="7"/>
        <v>0</v>
      </c>
      <c r="Q213" s="232">
        <f ca="1">Financeiros!D75</f>
        <v>0</v>
      </c>
    </row>
    <row r="214" spans="1:17" ht="15.75">
      <c r="A214" s="844" t="s">
        <v>696</v>
      </c>
      <c r="B214" s="844" t="s">
        <v>1290</v>
      </c>
      <c r="C214" s="844" t="str">
        <f>Financeiros!C76</f>
        <v>Conta Escassez H. - Diferimento de energia - RTA 2022 - Perda RB sobre Merc. Cat.</v>
      </c>
      <c r="D214" s="844">
        <v>2</v>
      </c>
      <c r="E214" s="844">
        <v>2</v>
      </c>
      <c r="F214" s="844">
        <f>Financeiros!H76</f>
        <v>22</v>
      </c>
      <c r="G214" s="844">
        <f>Financeiros!I76</f>
        <v>60</v>
      </c>
      <c r="H214" s="844">
        <f>Financeiros!J76</f>
        <v>240</v>
      </c>
      <c r="I214" s="844">
        <f>Financeiros!K76</f>
        <v>2</v>
      </c>
      <c r="J214" s="844">
        <f>Financeiros!L76</f>
        <v>24</v>
      </c>
      <c r="K214" s="844">
        <f>Financeiros!M76</f>
        <v>9</v>
      </c>
      <c r="L214" s="844">
        <v>99</v>
      </c>
      <c r="M214" s="844">
        <v>9</v>
      </c>
      <c r="N214" s="844">
        <v>3</v>
      </c>
      <c r="O214" s="844">
        <v>99999</v>
      </c>
      <c r="P214" s="906">
        <f t="shared" ca="1" si="7"/>
        <v>0</v>
      </c>
      <c r="Q214" s="232">
        <f ca="1">Financeiros!D76</f>
        <v>0</v>
      </c>
    </row>
    <row r="215" spans="1:17" ht="15.75">
      <c r="A215" s="844" t="s">
        <v>696</v>
      </c>
      <c r="B215" s="844" t="s">
        <v>1290</v>
      </c>
      <c r="C215" s="844" t="str">
        <f>Financeiros!C77</f>
        <v>Sobrecontratação/Exposição de Energia - Energia de Revenda</v>
      </c>
      <c r="D215" s="844">
        <v>2</v>
      </c>
      <c r="E215" s="844">
        <v>2</v>
      </c>
      <c r="F215" s="844">
        <f>Financeiros!H77</f>
        <v>22</v>
      </c>
      <c r="G215" s="844">
        <f>Financeiros!I77</f>
        <v>60</v>
      </c>
      <c r="H215" s="844">
        <f>Financeiros!J77</f>
        <v>106</v>
      </c>
      <c r="I215" s="844">
        <f>Financeiros!K77</f>
        <v>2</v>
      </c>
      <c r="J215" s="844">
        <f>Financeiros!L77</f>
        <v>11</v>
      </c>
      <c r="K215" s="844">
        <f>Financeiros!M77</f>
        <v>9</v>
      </c>
      <c r="L215" s="844">
        <v>99</v>
      </c>
      <c r="M215" s="844">
        <v>9</v>
      </c>
      <c r="N215" s="844">
        <v>3</v>
      </c>
      <c r="O215" s="844">
        <v>99999</v>
      </c>
      <c r="P215" s="906">
        <f t="shared" ca="1" si="7"/>
        <v>0</v>
      </c>
      <c r="Q215" s="232">
        <f ca="1">Financeiros!D77</f>
        <v>0</v>
      </c>
    </row>
    <row r="216" spans="1:17" ht="15.75">
      <c r="A216" s="844" t="s">
        <v>696</v>
      </c>
      <c r="B216" s="844" t="s">
        <v>1290</v>
      </c>
      <c r="C216" s="844" t="str">
        <f>Financeiros!C78</f>
        <v>Sobrecontratação/Exposição de Energia - Perda Não Técnica</v>
      </c>
      <c r="D216" s="844">
        <v>2</v>
      </c>
      <c r="E216" s="844">
        <v>2</v>
      </c>
      <c r="F216" s="844">
        <f>Financeiros!H78</f>
        <v>22</v>
      </c>
      <c r="G216" s="844">
        <f>Financeiros!I78</f>
        <v>60</v>
      </c>
      <c r="H216" s="844">
        <f>Financeiros!J78</f>
        <v>106</v>
      </c>
      <c r="I216" s="844">
        <f>Financeiros!K78</f>
        <v>2</v>
      </c>
      <c r="J216" s="844">
        <f>Financeiros!L78</f>
        <v>9</v>
      </c>
      <c r="K216" s="844">
        <f>Financeiros!M78</f>
        <v>9</v>
      </c>
      <c r="L216" s="844">
        <v>99</v>
      </c>
      <c r="M216" s="844">
        <v>9</v>
      </c>
      <c r="N216" s="844">
        <v>3</v>
      </c>
      <c r="O216" s="844">
        <v>99999</v>
      </c>
      <c r="P216" s="906">
        <f t="shared" ca="1" si="7"/>
        <v>0</v>
      </c>
      <c r="Q216" s="232">
        <f ca="1">Financeiros!D78</f>
        <v>0</v>
      </c>
    </row>
    <row r="217" spans="1:17" ht="15.75">
      <c r="A217" s="844" t="s">
        <v>696</v>
      </c>
      <c r="B217" s="844" t="s">
        <v>1290</v>
      </c>
      <c r="C217" s="844" t="str">
        <f>Financeiros!C79</f>
        <v>Sobrecontratação/Exposição de Energia - Perda Técnica</v>
      </c>
      <c r="D217" s="844">
        <v>2</v>
      </c>
      <c r="E217" s="844">
        <v>2</v>
      </c>
      <c r="F217" s="844">
        <f>Financeiros!H79</f>
        <v>22</v>
      </c>
      <c r="G217" s="844">
        <f>Financeiros!I79</f>
        <v>60</v>
      </c>
      <c r="H217" s="844">
        <f>Financeiros!J79</f>
        <v>106</v>
      </c>
      <c r="I217" s="844">
        <f>Financeiros!K79</f>
        <v>2</v>
      </c>
      <c r="J217" s="844">
        <f>Financeiros!L79</f>
        <v>8</v>
      </c>
      <c r="K217" s="844">
        <f>Financeiros!M79</f>
        <v>9</v>
      </c>
      <c r="L217" s="844">
        <v>99</v>
      </c>
      <c r="M217" s="844">
        <v>9</v>
      </c>
      <c r="N217" s="844">
        <v>3</v>
      </c>
      <c r="O217" s="844">
        <v>99999</v>
      </c>
      <c r="P217" s="906">
        <f t="shared" ca="1" si="7"/>
        <v>0</v>
      </c>
      <c r="Q217" s="232">
        <f ca="1">Financeiros!D79</f>
        <v>0</v>
      </c>
    </row>
    <row r="218" spans="1:17" ht="15.75">
      <c r="A218" s="844" t="s">
        <v>696</v>
      </c>
      <c r="B218" s="844" t="s">
        <v>1290</v>
      </c>
      <c r="C218" s="844" t="str">
        <f>Financeiros!C80</f>
        <v>Sobrecontratação/Exposição de Energia - Perda Rede Básica sobre Dist.</v>
      </c>
      <c r="D218" s="844">
        <v>2</v>
      </c>
      <c r="E218" s="844">
        <v>2</v>
      </c>
      <c r="F218" s="844">
        <f>Financeiros!H80</f>
        <v>22</v>
      </c>
      <c r="G218" s="844">
        <f>Financeiros!I80</f>
        <v>60</v>
      </c>
      <c r="H218" s="844">
        <f>Financeiros!J80</f>
        <v>106</v>
      </c>
      <c r="I218" s="844">
        <f>Financeiros!K80</f>
        <v>2</v>
      </c>
      <c r="J218" s="844">
        <f>Financeiros!L80</f>
        <v>10</v>
      </c>
      <c r="K218" s="844">
        <f>Financeiros!M80</f>
        <v>9</v>
      </c>
      <c r="L218" s="844">
        <v>99</v>
      </c>
      <c r="M218" s="844">
        <v>9</v>
      </c>
      <c r="N218" s="844">
        <v>3</v>
      </c>
      <c r="O218" s="844">
        <v>99999</v>
      </c>
      <c r="P218" s="906">
        <f t="shared" ca="1" si="7"/>
        <v>0</v>
      </c>
      <c r="Q218" s="232">
        <f ca="1">Financeiros!D80</f>
        <v>0</v>
      </c>
    </row>
    <row r="219" spans="1:17" ht="15.75">
      <c r="A219" s="844" t="s">
        <v>696</v>
      </c>
      <c r="B219" s="844" t="s">
        <v>1290</v>
      </c>
      <c r="C219" s="844" t="str">
        <f>Financeiros!C81</f>
        <v>Sobrecontratação/Exposição de Energia - Perda Rede Básica sobre mercado Cat.</v>
      </c>
      <c r="D219" s="844">
        <v>2</v>
      </c>
      <c r="E219" s="844">
        <v>2</v>
      </c>
      <c r="F219" s="844">
        <f>Financeiros!H81</f>
        <v>22</v>
      </c>
      <c r="G219" s="844">
        <f>Financeiros!I81</f>
        <v>60</v>
      </c>
      <c r="H219" s="844">
        <f>Financeiros!J81</f>
        <v>106</v>
      </c>
      <c r="I219" s="844">
        <f>Financeiros!K81</f>
        <v>2</v>
      </c>
      <c r="J219" s="844">
        <f>Financeiros!L81</f>
        <v>24</v>
      </c>
      <c r="K219" s="844">
        <f>Financeiros!M81</f>
        <v>9</v>
      </c>
      <c r="L219" s="844">
        <v>99</v>
      </c>
      <c r="M219" s="844">
        <v>9</v>
      </c>
      <c r="N219" s="844">
        <v>3</v>
      </c>
      <c r="O219" s="844">
        <v>99999</v>
      </c>
      <c r="P219" s="906">
        <f t="shared" ca="1" si="7"/>
        <v>0</v>
      </c>
      <c r="Q219" s="232">
        <f ca="1">Financeiros!D81</f>
        <v>0</v>
      </c>
    </row>
    <row r="220" spans="1:17" ht="15.75">
      <c r="A220" s="844" t="s">
        <v>696</v>
      </c>
      <c r="B220" s="844" t="s">
        <v>1290</v>
      </c>
      <c r="C220" s="844" t="str">
        <f>Financeiros!C82</f>
        <v>Reversão de Risco Hidrológico - Energia de Revenda</v>
      </c>
      <c r="D220" s="844">
        <v>2</v>
      </c>
      <c r="E220" s="844">
        <v>2</v>
      </c>
      <c r="F220" s="844">
        <f>Financeiros!H82</f>
        <v>22</v>
      </c>
      <c r="G220" s="844">
        <f>Financeiros!I82</f>
        <v>62</v>
      </c>
      <c r="H220" s="844">
        <f>Financeiros!J82</f>
        <v>220</v>
      </c>
      <c r="I220" s="844">
        <f>Financeiros!K82</f>
        <v>2</v>
      </c>
      <c r="J220" s="844">
        <f>Financeiros!L82</f>
        <v>11</v>
      </c>
      <c r="K220" s="844">
        <f>Financeiros!M82</f>
        <v>9</v>
      </c>
      <c r="L220" s="844">
        <v>99</v>
      </c>
      <c r="M220" s="844">
        <v>9</v>
      </c>
      <c r="N220" s="844">
        <v>3</v>
      </c>
      <c r="O220" s="844">
        <v>99999</v>
      </c>
      <c r="P220" s="906">
        <f t="shared" ca="1" si="7"/>
        <v>0</v>
      </c>
      <c r="Q220" s="232">
        <f ca="1">Financeiros!D82</f>
        <v>0</v>
      </c>
    </row>
    <row r="221" spans="1:17" ht="15.75">
      <c r="A221" s="844" t="s">
        <v>696</v>
      </c>
      <c r="B221" s="844" t="s">
        <v>1290</v>
      </c>
      <c r="C221" s="844" t="str">
        <f>Financeiros!C83</f>
        <v>Reversão de Risco Hidrológico - Perda Não Técnica</v>
      </c>
      <c r="D221" s="844">
        <v>2</v>
      </c>
      <c r="E221" s="844">
        <v>2</v>
      </c>
      <c r="F221" s="844">
        <f>Financeiros!H83</f>
        <v>22</v>
      </c>
      <c r="G221" s="844">
        <f>Financeiros!I83</f>
        <v>62</v>
      </c>
      <c r="H221" s="844">
        <f>Financeiros!J83</f>
        <v>220</v>
      </c>
      <c r="I221" s="844">
        <f>Financeiros!K83</f>
        <v>2</v>
      </c>
      <c r="J221" s="844">
        <f>Financeiros!L83</f>
        <v>9</v>
      </c>
      <c r="K221" s="844">
        <f>Financeiros!M83</f>
        <v>9</v>
      </c>
      <c r="L221" s="844">
        <v>99</v>
      </c>
      <c r="M221" s="844">
        <v>9</v>
      </c>
      <c r="N221" s="844">
        <v>3</v>
      </c>
      <c r="O221" s="844">
        <v>99999</v>
      </c>
      <c r="P221" s="906">
        <f t="shared" ca="1" si="7"/>
        <v>0</v>
      </c>
      <c r="Q221" s="232">
        <f ca="1">Financeiros!D83</f>
        <v>0</v>
      </c>
    </row>
    <row r="222" spans="1:17" ht="15.75">
      <c r="A222" s="844" t="s">
        <v>696</v>
      </c>
      <c r="B222" s="844" t="s">
        <v>1290</v>
      </c>
      <c r="C222" s="844" t="str">
        <f>Financeiros!C84</f>
        <v>Reversão de Risco Hidrológico - Perda Técnica</v>
      </c>
      <c r="D222" s="844">
        <v>2</v>
      </c>
      <c r="E222" s="844">
        <v>2</v>
      </c>
      <c r="F222" s="844">
        <f>Financeiros!H84</f>
        <v>22</v>
      </c>
      <c r="G222" s="844">
        <f>Financeiros!I84</f>
        <v>62</v>
      </c>
      <c r="H222" s="844">
        <f>Financeiros!J84</f>
        <v>220</v>
      </c>
      <c r="I222" s="844">
        <f>Financeiros!K84</f>
        <v>2</v>
      </c>
      <c r="J222" s="844">
        <f>Financeiros!L84</f>
        <v>8</v>
      </c>
      <c r="K222" s="844">
        <f>Financeiros!M84</f>
        <v>9</v>
      </c>
      <c r="L222" s="844">
        <v>99</v>
      </c>
      <c r="M222" s="844">
        <v>9</v>
      </c>
      <c r="N222" s="844">
        <v>3</v>
      </c>
      <c r="O222" s="844">
        <v>99999</v>
      </c>
      <c r="P222" s="906">
        <f t="shared" ca="1" si="7"/>
        <v>0</v>
      </c>
      <c r="Q222" s="232">
        <f ca="1">Financeiros!D84</f>
        <v>0</v>
      </c>
    </row>
    <row r="223" spans="1:17" ht="15.75">
      <c r="A223" s="844" t="s">
        <v>696</v>
      </c>
      <c r="B223" s="844" t="s">
        <v>1290</v>
      </c>
      <c r="C223" s="844" t="str">
        <f>Financeiros!C85</f>
        <v>Reversão de Risco Hidrológico - Perda Rede Básica sobre Dist.</v>
      </c>
      <c r="D223" s="844">
        <v>2</v>
      </c>
      <c r="E223" s="844">
        <v>2</v>
      </c>
      <c r="F223" s="844">
        <f>Financeiros!H85</f>
        <v>22</v>
      </c>
      <c r="G223" s="844">
        <f>Financeiros!I85</f>
        <v>62</v>
      </c>
      <c r="H223" s="844">
        <f>Financeiros!J85</f>
        <v>220</v>
      </c>
      <c r="I223" s="844">
        <f>Financeiros!K85</f>
        <v>2</v>
      </c>
      <c r="J223" s="844">
        <f>Financeiros!L85</f>
        <v>10</v>
      </c>
      <c r="K223" s="844">
        <f>Financeiros!M85</f>
        <v>9</v>
      </c>
      <c r="L223" s="844">
        <v>99</v>
      </c>
      <c r="M223" s="844">
        <v>9</v>
      </c>
      <c r="N223" s="844">
        <v>3</v>
      </c>
      <c r="O223" s="844">
        <v>99999</v>
      </c>
      <c r="P223" s="906">
        <f t="shared" ca="1" si="7"/>
        <v>0</v>
      </c>
      <c r="Q223" s="232">
        <f ca="1">Financeiros!D85</f>
        <v>0</v>
      </c>
    </row>
    <row r="224" spans="1:17" ht="15.75">
      <c r="A224" s="844" t="s">
        <v>696</v>
      </c>
      <c r="B224" s="844" t="s">
        <v>1290</v>
      </c>
      <c r="C224" s="844" t="str">
        <f>Financeiros!C86</f>
        <v>Reversão de Risco Hidrológico - Perda Rede Básica sobre mercado Cat.</v>
      </c>
      <c r="D224" s="844">
        <v>2</v>
      </c>
      <c r="E224" s="844">
        <v>2</v>
      </c>
      <c r="F224" s="844">
        <f>Financeiros!H86</f>
        <v>22</v>
      </c>
      <c r="G224" s="844">
        <f>Financeiros!I86</f>
        <v>62</v>
      </c>
      <c r="H224" s="844">
        <f>Financeiros!J86</f>
        <v>220</v>
      </c>
      <c r="I224" s="844">
        <f>Financeiros!K86</f>
        <v>2</v>
      </c>
      <c r="J224" s="844">
        <f>Financeiros!L86</f>
        <v>24</v>
      </c>
      <c r="K224" s="844">
        <f>Financeiros!M86</f>
        <v>9</v>
      </c>
      <c r="L224" s="844">
        <v>99</v>
      </c>
      <c r="M224" s="844">
        <v>9</v>
      </c>
      <c r="N224" s="844">
        <v>3</v>
      </c>
      <c r="O224" s="844">
        <v>99999</v>
      </c>
      <c r="P224" s="906">
        <f t="shared" ca="1" si="7"/>
        <v>0</v>
      </c>
      <c r="Q224" s="232">
        <f ca="1">Financeiros!D86</f>
        <v>0</v>
      </c>
    </row>
    <row r="225" spans="1:17" ht="15.75">
      <c r="A225" s="844" t="s">
        <v>696</v>
      </c>
      <c r="B225" s="844" t="s">
        <v>1290</v>
      </c>
      <c r="C225" s="844" t="str">
        <f>Financeiros!C87</f>
        <v>Previsão de Risco Hidrologico - Energia de Revenda</v>
      </c>
      <c r="D225" s="844">
        <v>2</v>
      </c>
      <c r="E225" s="844">
        <v>2</v>
      </c>
      <c r="F225" s="844">
        <f>Financeiros!H87</f>
        <v>22</v>
      </c>
      <c r="G225" s="844">
        <f>Financeiros!I87</f>
        <v>60</v>
      </c>
      <c r="H225" s="844">
        <f>Financeiros!J87</f>
        <v>220</v>
      </c>
      <c r="I225" s="844">
        <f>Financeiros!K87</f>
        <v>2</v>
      </c>
      <c r="J225" s="844">
        <f>Financeiros!L87</f>
        <v>11</v>
      </c>
      <c r="K225" s="844">
        <f>Financeiros!M87</f>
        <v>9</v>
      </c>
      <c r="L225" s="844">
        <v>99</v>
      </c>
      <c r="M225" s="844">
        <v>9</v>
      </c>
      <c r="N225" s="844">
        <v>3</v>
      </c>
      <c r="O225" s="844">
        <v>99999</v>
      </c>
      <c r="P225" s="906">
        <f t="shared" ca="1" si="7"/>
        <v>150933.82607745717</v>
      </c>
      <c r="Q225" s="232">
        <f ca="1">Financeiros!D87</f>
        <v>150933.82607745717</v>
      </c>
    </row>
    <row r="226" spans="1:17" ht="15.75">
      <c r="A226" s="844" t="s">
        <v>696</v>
      </c>
      <c r="B226" s="844" t="s">
        <v>1290</v>
      </c>
      <c r="C226" s="844" t="str">
        <f>Financeiros!C88</f>
        <v>Previsão de Risco Hidrologico - Perda Não Técnica</v>
      </c>
      <c r="D226" s="844">
        <v>2</v>
      </c>
      <c r="E226" s="844">
        <v>2</v>
      </c>
      <c r="F226" s="844">
        <f>Financeiros!H88</f>
        <v>22</v>
      </c>
      <c r="G226" s="844">
        <f>Financeiros!I88</f>
        <v>60</v>
      </c>
      <c r="H226" s="844">
        <f>Financeiros!J88</f>
        <v>220</v>
      </c>
      <c r="I226" s="844">
        <f>Financeiros!K88</f>
        <v>2</v>
      </c>
      <c r="J226" s="844">
        <f>Financeiros!L88</f>
        <v>9</v>
      </c>
      <c r="K226" s="844">
        <f>Financeiros!M88</f>
        <v>9</v>
      </c>
      <c r="L226" s="844">
        <v>99</v>
      </c>
      <c r="M226" s="844">
        <v>9</v>
      </c>
      <c r="N226" s="844">
        <v>3</v>
      </c>
      <c r="O226" s="844">
        <v>99999</v>
      </c>
      <c r="P226" s="906">
        <f t="shared" ca="1" si="7"/>
        <v>0</v>
      </c>
      <c r="Q226" s="232">
        <f ca="1">Financeiros!D88</f>
        <v>0</v>
      </c>
    </row>
    <row r="227" spans="1:17" ht="15.75">
      <c r="A227" s="844" t="s">
        <v>696</v>
      </c>
      <c r="B227" s="844" t="s">
        <v>1290</v>
      </c>
      <c r="C227" s="844" t="str">
        <f>Financeiros!C89</f>
        <v>Previsão de Risco Hidrologico - Perda Técnica</v>
      </c>
      <c r="D227" s="844">
        <v>2</v>
      </c>
      <c r="E227" s="844">
        <v>2</v>
      </c>
      <c r="F227" s="844">
        <f>Financeiros!H89</f>
        <v>22</v>
      </c>
      <c r="G227" s="844">
        <f>Financeiros!I89</f>
        <v>60</v>
      </c>
      <c r="H227" s="844">
        <f>Financeiros!J89</f>
        <v>220</v>
      </c>
      <c r="I227" s="844">
        <f>Financeiros!K89</f>
        <v>2</v>
      </c>
      <c r="J227" s="844">
        <f>Financeiros!L89</f>
        <v>8</v>
      </c>
      <c r="K227" s="844">
        <f>Financeiros!M89</f>
        <v>9</v>
      </c>
      <c r="L227" s="844">
        <v>99</v>
      </c>
      <c r="M227" s="844">
        <v>9</v>
      </c>
      <c r="N227" s="844">
        <v>3</v>
      </c>
      <c r="O227" s="844">
        <v>99999</v>
      </c>
      <c r="P227" s="906">
        <f t="shared" ca="1" si="7"/>
        <v>8163.576073228327</v>
      </c>
      <c r="Q227" s="232">
        <f ca="1">Financeiros!D89</f>
        <v>8163.576073228327</v>
      </c>
    </row>
    <row r="228" spans="1:17" ht="15.75">
      <c r="A228" s="844" t="s">
        <v>696</v>
      </c>
      <c r="B228" s="844" t="s">
        <v>1290</v>
      </c>
      <c r="C228" s="844" t="str">
        <f>Financeiros!C90</f>
        <v>Previsão de Risco Hidrologico - Perda Rede Básica sobre Dist.</v>
      </c>
      <c r="D228" s="844">
        <v>2</v>
      </c>
      <c r="E228" s="844">
        <v>2</v>
      </c>
      <c r="F228" s="844">
        <f>Financeiros!H90</f>
        <v>22</v>
      </c>
      <c r="G228" s="844">
        <f>Financeiros!I90</f>
        <v>60</v>
      </c>
      <c r="H228" s="844">
        <f>Financeiros!J90</f>
        <v>220</v>
      </c>
      <c r="I228" s="844">
        <f>Financeiros!K90</f>
        <v>2</v>
      </c>
      <c r="J228" s="844">
        <f>Financeiros!L90</f>
        <v>10</v>
      </c>
      <c r="K228" s="844">
        <f>Financeiros!M90</f>
        <v>9</v>
      </c>
      <c r="L228" s="844">
        <v>99</v>
      </c>
      <c r="M228" s="844">
        <v>9</v>
      </c>
      <c r="N228" s="844">
        <v>3</v>
      </c>
      <c r="O228" s="844">
        <v>99999</v>
      </c>
      <c r="P228" s="906">
        <f t="shared" ca="1" si="7"/>
        <v>0</v>
      </c>
      <c r="Q228" s="232">
        <f ca="1">Financeiros!D90</f>
        <v>0</v>
      </c>
    </row>
    <row r="229" spans="1:17" ht="15.75">
      <c r="A229" s="844" t="s">
        <v>696</v>
      </c>
      <c r="B229" s="844" t="s">
        <v>1290</v>
      </c>
      <c r="C229" s="844" t="str">
        <f>Financeiros!C91</f>
        <v>Previsão de Risco Hidrologico - Perda Rede Básica sobre mercado Cat.</v>
      </c>
      <c r="D229" s="844">
        <v>2</v>
      </c>
      <c r="E229" s="844">
        <v>2</v>
      </c>
      <c r="F229" s="844">
        <f>Financeiros!H91</f>
        <v>22</v>
      </c>
      <c r="G229" s="844">
        <f>Financeiros!I91</f>
        <v>60</v>
      </c>
      <c r="H229" s="844">
        <f>Financeiros!J91</f>
        <v>220</v>
      </c>
      <c r="I229" s="844">
        <f>Financeiros!K91</f>
        <v>2</v>
      </c>
      <c r="J229" s="844">
        <f>Financeiros!L91</f>
        <v>24</v>
      </c>
      <c r="K229" s="844">
        <f>Financeiros!M91</f>
        <v>9</v>
      </c>
      <c r="L229" s="844">
        <v>99</v>
      </c>
      <c r="M229" s="844">
        <v>9</v>
      </c>
      <c r="N229" s="844">
        <v>3</v>
      </c>
      <c r="O229" s="844">
        <v>99999</v>
      </c>
      <c r="P229" s="906">
        <f t="shared" ca="1" si="7"/>
        <v>0</v>
      </c>
      <c r="Q229" s="232">
        <f ca="1">Financeiros!D91</f>
        <v>0</v>
      </c>
    </row>
    <row r="230" spans="1:17" ht="15.75">
      <c r="A230" s="844" t="s">
        <v>696</v>
      </c>
      <c r="B230" s="844" t="s">
        <v>1290</v>
      </c>
      <c r="C230" s="844" t="str">
        <f>Financeiros!C92</f>
        <v>Diferimento da Previsão de Risco Hidrologico - Energia de Revenda</v>
      </c>
      <c r="D230" s="844">
        <v>2</v>
      </c>
      <c r="E230" s="844">
        <v>2</v>
      </c>
      <c r="F230" s="844">
        <v>999</v>
      </c>
      <c r="G230" s="844">
        <v>999999</v>
      </c>
      <c r="H230" s="844">
        <v>999</v>
      </c>
      <c r="I230" s="844">
        <v>99</v>
      </c>
      <c r="J230" s="844">
        <v>999</v>
      </c>
      <c r="K230" s="844">
        <v>9</v>
      </c>
      <c r="L230" s="844">
        <v>99</v>
      </c>
      <c r="M230" s="844">
        <v>9</v>
      </c>
      <c r="N230" s="844">
        <v>3</v>
      </c>
      <c r="O230" s="844">
        <v>99999</v>
      </c>
      <c r="P230" s="906">
        <f t="shared" si="7"/>
        <v>0</v>
      </c>
      <c r="Q230" s="232">
        <f>Financeiros!D92</f>
        <v>0</v>
      </c>
    </row>
    <row r="231" spans="1:17" ht="15.75">
      <c r="A231" s="844" t="s">
        <v>696</v>
      </c>
      <c r="B231" s="844" t="s">
        <v>1290</v>
      </c>
      <c r="C231" s="844" t="str">
        <f>Financeiros!C93</f>
        <v>Diferimento da Previsão de Risco Hidrologico - Perda Não Técnica</v>
      </c>
      <c r="D231" s="844">
        <v>2</v>
      </c>
      <c r="E231" s="844">
        <v>2</v>
      </c>
      <c r="F231" s="844">
        <v>999</v>
      </c>
      <c r="G231" s="844">
        <v>999999</v>
      </c>
      <c r="H231" s="844">
        <v>999</v>
      </c>
      <c r="I231" s="844">
        <v>99</v>
      </c>
      <c r="J231" s="844">
        <v>999</v>
      </c>
      <c r="K231" s="844">
        <v>9</v>
      </c>
      <c r="L231" s="844">
        <v>99</v>
      </c>
      <c r="M231" s="844">
        <v>9</v>
      </c>
      <c r="N231" s="844">
        <v>3</v>
      </c>
      <c r="O231" s="844">
        <v>99999</v>
      </c>
      <c r="P231" s="906">
        <f t="shared" si="7"/>
        <v>0</v>
      </c>
      <c r="Q231" s="232">
        <f>Financeiros!D93</f>
        <v>0</v>
      </c>
    </row>
    <row r="232" spans="1:17" ht="15.75">
      <c r="A232" s="844" t="s">
        <v>696</v>
      </c>
      <c r="B232" s="844" t="s">
        <v>1290</v>
      </c>
      <c r="C232" s="844" t="str">
        <f>Financeiros!C94</f>
        <v>Diferimento da Previsão de Risco Hidrologico - Perda Técnica</v>
      </c>
      <c r="D232" s="844">
        <v>2</v>
      </c>
      <c r="E232" s="844">
        <v>2</v>
      </c>
      <c r="F232" s="844">
        <v>999</v>
      </c>
      <c r="G232" s="844">
        <v>999999</v>
      </c>
      <c r="H232" s="844">
        <v>999</v>
      </c>
      <c r="I232" s="844">
        <v>99</v>
      </c>
      <c r="J232" s="844">
        <v>999</v>
      </c>
      <c r="K232" s="844">
        <v>9</v>
      </c>
      <c r="L232" s="844">
        <v>99</v>
      </c>
      <c r="M232" s="844">
        <v>9</v>
      </c>
      <c r="N232" s="844">
        <v>3</v>
      </c>
      <c r="O232" s="844">
        <v>99999</v>
      </c>
      <c r="P232" s="906">
        <f t="shared" si="7"/>
        <v>0</v>
      </c>
      <c r="Q232" s="232">
        <f>Financeiros!D94</f>
        <v>0</v>
      </c>
    </row>
    <row r="233" spans="1:17" ht="15.75">
      <c r="A233" s="844" t="s">
        <v>696</v>
      </c>
      <c r="B233" s="844" t="s">
        <v>1290</v>
      </c>
      <c r="C233" s="844" t="str">
        <f>Financeiros!C95</f>
        <v>Diferimento da Previsão de Risco Hidrologico - Perda Rede Básica sobre Dist.</v>
      </c>
      <c r="D233" s="844">
        <v>2</v>
      </c>
      <c r="E233" s="844">
        <v>2</v>
      </c>
      <c r="F233" s="844">
        <v>999</v>
      </c>
      <c r="G233" s="844">
        <v>999999</v>
      </c>
      <c r="H233" s="844">
        <v>999</v>
      </c>
      <c r="I233" s="844">
        <v>99</v>
      </c>
      <c r="J233" s="844">
        <v>999</v>
      </c>
      <c r="K233" s="844">
        <v>9</v>
      </c>
      <c r="L233" s="844">
        <v>99</v>
      </c>
      <c r="M233" s="844">
        <v>9</v>
      </c>
      <c r="N233" s="844">
        <v>3</v>
      </c>
      <c r="O233" s="844">
        <v>99999</v>
      </c>
      <c r="P233" s="906">
        <f t="shared" si="7"/>
        <v>0</v>
      </c>
      <c r="Q233" s="232">
        <f>Financeiros!D95</f>
        <v>0</v>
      </c>
    </row>
    <row r="234" spans="1:17" ht="15.75">
      <c r="A234" s="844" t="s">
        <v>696</v>
      </c>
      <c r="B234" s="844" t="s">
        <v>1290</v>
      </c>
      <c r="C234" s="844" t="str">
        <f>Financeiros!C96</f>
        <v>Diferimento da Previsão de Risco Hidrologico - Perda Rede Básica sobre mercado Cat.</v>
      </c>
      <c r="D234" s="844">
        <v>2</v>
      </c>
      <c r="E234" s="844">
        <v>2</v>
      </c>
      <c r="F234" s="844">
        <v>999</v>
      </c>
      <c r="G234" s="844">
        <v>999999</v>
      </c>
      <c r="H234" s="844">
        <v>999</v>
      </c>
      <c r="I234" s="844">
        <v>99</v>
      </c>
      <c r="J234" s="844">
        <v>999</v>
      </c>
      <c r="K234" s="844">
        <v>9</v>
      </c>
      <c r="L234" s="844">
        <v>99</v>
      </c>
      <c r="M234" s="844">
        <v>9</v>
      </c>
      <c r="N234" s="844">
        <v>3</v>
      </c>
      <c r="O234" s="844">
        <v>99999</v>
      </c>
      <c r="P234" s="906">
        <f t="shared" si="7"/>
        <v>0</v>
      </c>
      <c r="Q234" s="232">
        <f>Financeiros!D96</f>
        <v>0</v>
      </c>
    </row>
    <row r="235" spans="1:17" ht="15.75">
      <c r="A235" s="844" t="s">
        <v>696</v>
      </c>
      <c r="B235" s="844" t="s">
        <v>1290</v>
      </c>
      <c r="C235" s="844" t="str">
        <f>Financeiros!C97</f>
        <v xml:space="preserve">Diferimento CUSD </v>
      </c>
      <c r="D235" s="844">
        <v>2</v>
      </c>
      <c r="E235" s="844">
        <v>2</v>
      </c>
      <c r="F235" s="844">
        <v>999</v>
      </c>
      <c r="G235" s="844">
        <v>999999</v>
      </c>
      <c r="H235" s="844">
        <v>999</v>
      </c>
      <c r="I235" s="844">
        <v>99</v>
      </c>
      <c r="J235" s="844">
        <v>999</v>
      </c>
      <c r="K235" s="844">
        <v>9</v>
      </c>
      <c r="L235" s="844">
        <v>99</v>
      </c>
      <c r="M235" s="844">
        <v>9</v>
      </c>
      <c r="N235" s="844">
        <v>3</v>
      </c>
      <c r="O235" s="844">
        <v>99999</v>
      </c>
      <c r="P235" s="906">
        <f t="shared" si="7"/>
        <v>0</v>
      </c>
      <c r="Q235" s="232">
        <f>Financeiros!D97</f>
        <v>0</v>
      </c>
    </row>
    <row r="236" spans="1:17" ht="15.75">
      <c r="A236" s="844" t="s">
        <v>696</v>
      </c>
      <c r="B236" s="844" t="s">
        <v>1290</v>
      </c>
      <c r="C236" s="844">
        <f>Financeiros!C98</f>
        <v>0</v>
      </c>
      <c r="D236" s="844">
        <v>2</v>
      </c>
      <c r="E236" s="844">
        <v>2</v>
      </c>
      <c r="F236" s="844">
        <v>999</v>
      </c>
      <c r="G236" s="844">
        <v>999999</v>
      </c>
      <c r="H236" s="844">
        <v>999</v>
      </c>
      <c r="I236" s="844">
        <v>99</v>
      </c>
      <c r="J236" s="844">
        <v>999</v>
      </c>
      <c r="K236" s="844">
        <v>9</v>
      </c>
      <c r="L236" s="844">
        <v>99</v>
      </c>
      <c r="M236" s="844">
        <v>9</v>
      </c>
      <c r="N236" s="844">
        <v>3</v>
      </c>
      <c r="O236" s="844">
        <v>99999</v>
      </c>
      <c r="P236" s="906">
        <f t="shared" si="7"/>
        <v>0</v>
      </c>
      <c r="Q236" s="232">
        <f>Financeiros!D98</f>
        <v>0</v>
      </c>
    </row>
    <row r="237" spans="1:17" ht="15.75">
      <c r="A237" s="844" t="s">
        <v>696</v>
      </c>
      <c r="B237" s="844" t="s">
        <v>1290</v>
      </c>
      <c r="C237" s="844">
        <f>Financeiros!C99</f>
        <v>0</v>
      </c>
      <c r="D237" s="844">
        <v>2</v>
      </c>
      <c r="E237" s="844">
        <v>2</v>
      </c>
      <c r="F237" s="844">
        <v>999</v>
      </c>
      <c r="G237" s="844">
        <v>999999</v>
      </c>
      <c r="H237" s="844">
        <v>999</v>
      </c>
      <c r="I237" s="844">
        <v>99</v>
      </c>
      <c r="J237" s="844">
        <v>999</v>
      </c>
      <c r="K237" s="844">
        <v>9</v>
      </c>
      <c r="L237" s="844">
        <v>99</v>
      </c>
      <c r="M237" s="844">
        <v>9</v>
      </c>
      <c r="N237" s="844">
        <v>3</v>
      </c>
      <c r="O237" s="844">
        <v>99999</v>
      </c>
      <c r="P237" s="906">
        <f t="shared" si="7"/>
        <v>0</v>
      </c>
      <c r="Q237" s="232">
        <f>Financeiros!D99</f>
        <v>0</v>
      </c>
    </row>
    <row r="238" spans="1:17" ht="15.75">
      <c r="A238" s="844" t="s">
        <v>696</v>
      </c>
      <c r="B238" s="844" t="s">
        <v>1290</v>
      </c>
      <c r="C238" s="844">
        <f>Financeiros!C100</f>
        <v>0</v>
      </c>
      <c r="D238" s="844">
        <v>2</v>
      </c>
      <c r="E238" s="844">
        <v>2</v>
      </c>
      <c r="F238" s="844">
        <v>999</v>
      </c>
      <c r="G238" s="844">
        <v>999999</v>
      </c>
      <c r="H238" s="844">
        <v>999</v>
      </c>
      <c r="I238" s="844">
        <v>99</v>
      </c>
      <c r="J238" s="844">
        <v>999</v>
      </c>
      <c r="K238" s="844">
        <v>9</v>
      </c>
      <c r="L238" s="844">
        <v>99</v>
      </c>
      <c r="M238" s="844">
        <v>9</v>
      </c>
      <c r="N238" s="844">
        <v>3</v>
      </c>
      <c r="O238" s="844">
        <v>99999</v>
      </c>
      <c r="P238" s="906">
        <f t="shared" ref="P238" si="8">IF(ISNUMBER(Q238),Q238,0)</f>
        <v>0</v>
      </c>
      <c r="Q238" s="232">
        <f>Financeiros!D100</f>
        <v>0</v>
      </c>
    </row>
    <row r="239" spans="1:17" ht="15.75">
      <c r="A239" s="1675" t="s">
        <v>1473</v>
      </c>
      <c r="B239" s="1676" t="s">
        <v>1473</v>
      </c>
      <c r="C239" s="1676" t="s">
        <v>1473</v>
      </c>
      <c r="D239" s="1676">
        <v>99</v>
      </c>
      <c r="E239" s="1676">
        <v>99</v>
      </c>
      <c r="F239" s="1676">
        <v>999</v>
      </c>
      <c r="G239" s="1676">
        <v>999999</v>
      </c>
      <c r="H239" s="1676">
        <v>999</v>
      </c>
      <c r="I239" s="1676">
        <v>99</v>
      </c>
      <c r="J239" s="1676">
        <v>999</v>
      </c>
      <c r="K239" s="1676">
        <v>9</v>
      </c>
      <c r="L239" s="1676">
        <v>99</v>
      </c>
      <c r="M239" s="1676">
        <v>9</v>
      </c>
      <c r="N239" s="1676">
        <v>99</v>
      </c>
      <c r="O239" s="1672">
        <v>99999</v>
      </c>
      <c r="P239" s="1677">
        <f>IF(ISNUMBER(Q239),Q239,0)</f>
        <v>0</v>
      </c>
      <c r="Q239" s="1678">
        <v>0</v>
      </c>
    </row>
    <row r="240" spans="1:17" ht="15.75">
      <c r="A240" s="1675" t="s">
        <v>1473</v>
      </c>
      <c r="B240" s="1676" t="s">
        <v>1473</v>
      </c>
      <c r="C240" s="1676" t="s">
        <v>1473</v>
      </c>
      <c r="D240" s="1676">
        <v>99</v>
      </c>
      <c r="E240" s="1676">
        <v>99</v>
      </c>
      <c r="F240" s="1676">
        <v>999</v>
      </c>
      <c r="G240" s="1676">
        <v>999999</v>
      </c>
      <c r="H240" s="1676">
        <v>999</v>
      </c>
      <c r="I240" s="1676">
        <v>99</v>
      </c>
      <c r="J240" s="1676">
        <v>999</v>
      </c>
      <c r="K240" s="1676">
        <v>9</v>
      </c>
      <c r="L240" s="1676">
        <v>99</v>
      </c>
      <c r="M240" s="1676">
        <v>9</v>
      </c>
      <c r="N240" s="1676">
        <v>99</v>
      </c>
      <c r="O240" s="1672">
        <v>99999</v>
      </c>
      <c r="P240" s="1677">
        <f>IF(ISNUMBER(Q240),Q240,0)</f>
        <v>0</v>
      </c>
      <c r="Q240" s="1678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1507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1508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1509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1510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1511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1512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87" t="s">
        <v>1513</v>
      </c>
      <c r="B1" s="493">
        <f>YEAR(SAS_RA0_DataInicio)*100+MONTH(SAS_RA0_DataInicio)</f>
        <v>202109</v>
      </c>
      <c r="D1" s="1387" t="s">
        <v>1514</v>
      </c>
      <c r="E1" s="1387" t="s">
        <v>1515</v>
      </c>
      <c r="F1" s="1387" t="s">
        <v>1516</v>
      </c>
    </row>
    <row r="2" spans="1:138" ht="15.75">
      <c r="A2" s="1387" t="s">
        <v>1517</v>
      </c>
      <c r="B2" s="493">
        <f>YEAR(SAS_RA0_DataFim)*100+MONTH(SAS_RA0_DataFim)</f>
        <v>202208</v>
      </c>
      <c r="D2" s="1388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89" t="s">
        <v>189</v>
      </c>
      <c r="B3" s="495">
        <f>YEAR(SAS_RA0_DataFim)*100+MONTH(SAS_RA0_DataFim)-MAX(C:C)+1</f>
        <v>202209</v>
      </c>
      <c r="D3" s="1388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1518</v>
      </c>
      <c r="B4" s="510" t="s">
        <v>1519</v>
      </c>
    </row>
    <row r="6" spans="1:138" ht="15.75">
      <c r="A6" s="764"/>
      <c r="B6" s="765"/>
      <c r="C6" s="765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0" t="s">
        <v>1520</v>
      </c>
      <c r="B1" s="1391">
        <v>0</v>
      </c>
    </row>
    <row r="2" spans="1:2">
      <c r="A2" s="1390" t="s">
        <v>1521</v>
      </c>
      <c r="B2" s="1391">
        <v>0</v>
      </c>
    </row>
    <row r="3" spans="1:2">
      <c r="A3" s="1390" t="s">
        <v>1522</v>
      </c>
      <c r="B3" s="1391">
        <v>0</v>
      </c>
    </row>
    <row r="4" spans="1:2">
      <c r="A4" s="1390" t="s">
        <v>1523</v>
      </c>
      <c r="B4" s="1391">
        <v>0</v>
      </c>
    </row>
    <row r="5" spans="1:2">
      <c r="A5" s="1390" t="s">
        <v>1524</v>
      </c>
      <c r="B5" s="1391">
        <v>0</v>
      </c>
    </row>
    <row r="6" spans="1:2">
      <c r="A6" s="1390" t="s">
        <v>1525</v>
      </c>
      <c r="B6" s="1391">
        <v>0</v>
      </c>
    </row>
    <row r="7" spans="1:2">
      <c r="A7" s="1390" t="s">
        <v>1526</v>
      </c>
      <c r="B7" s="1391">
        <v>0</v>
      </c>
    </row>
    <row r="8" spans="1:2">
      <c r="A8" s="1390" t="s">
        <v>1527</v>
      </c>
      <c r="B8" s="1391">
        <v>0</v>
      </c>
    </row>
    <row r="9" spans="1:2">
      <c r="A9" s="1390" t="s">
        <v>1528</v>
      </c>
      <c r="B9" s="1391">
        <v>0.45</v>
      </c>
    </row>
    <row r="10" spans="1:2">
      <c r="A10" s="1390" t="s">
        <v>1529</v>
      </c>
      <c r="B10" s="1391">
        <v>0.4</v>
      </c>
    </row>
    <row r="11" spans="1:2">
      <c r="A11" s="1390" t="s">
        <v>1530</v>
      </c>
      <c r="B11" s="1390">
        <v>0.65</v>
      </c>
    </row>
    <row r="12" spans="1:2">
      <c r="A12" s="1390" t="s">
        <v>1531</v>
      </c>
      <c r="B12" s="1390">
        <v>0.4</v>
      </c>
    </row>
    <row r="13" spans="1:2">
      <c r="A13" s="1390" t="s">
        <v>1532</v>
      </c>
      <c r="B13" s="1390">
        <v>0.1</v>
      </c>
    </row>
    <row r="14" spans="1:2">
      <c r="A14" s="1390" t="s">
        <v>1533</v>
      </c>
      <c r="B14" s="1390">
        <v>0</v>
      </c>
    </row>
    <row r="15" spans="1:2">
      <c r="A15" s="1390" t="s">
        <v>1534</v>
      </c>
      <c r="B15" s="1390">
        <v>0.3</v>
      </c>
    </row>
    <row r="16" spans="1:2">
      <c r="A16" s="1390" t="s">
        <v>1535</v>
      </c>
      <c r="B16" s="1390">
        <v>0.3</v>
      </c>
    </row>
    <row r="17" spans="1:13">
      <c r="A17" s="1390" t="s">
        <v>1536</v>
      </c>
      <c r="B17" s="1390">
        <v>0.4</v>
      </c>
    </row>
    <row r="20" spans="1:13" ht="15">
      <c r="D20" s="1392" t="s">
        <v>1375</v>
      </c>
      <c r="E20" s="1392" t="s">
        <v>960</v>
      </c>
      <c r="F20" s="1392" t="s">
        <v>1537</v>
      </c>
      <c r="G20" s="1392" t="s">
        <v>1538</v>
      </c>
      <c r="H20" s="1392" t="s">
        <v>1539</v>
      </c>
      <c r="I20" s="1392" t="s">
        <v>1540</v>
      </c>
      <c r="J20" s="1392" t="s">
        <v>1541</v>
      </c>
      <c r="K20" s="1392" t="s">
        <v>1542</v>
      </c>
      <c r="L20" s="1392" t="s">
        <v>1543</v>
      </c>
      <c r="M20" s="1392" t="s">
        <v>1044</v>
      </c>
    </row>
    <row r="21" spans="1:13" ht="30" hidden="1">
      <c r="D21" s="1393">
        <v>26</v>
      </c>
      <c r="E21" s="1394" t="s">
        <v>1544</v>
      </c>
      <c r="F21" s="1394" t="s">
        <v>113</v>
      </c>
      <c r="G21" s="1395">
        <v>41243</v>
      </c>
      <c r="H21" s="1396">
        <v>41243</v>
      </c>
      <c r="I21" s="1394" t="s">
        <v>963</v>
      </c>
      <c r="J21" s="1394" t="s">
        <v>114</v>
      </c>
      <c r="K21" s="1393">
        <v>1663</v>
      </c>
      <c r="L21" s="1394" t="s">
        <v>1545</v>
      </c>
      <c r="M21" s="1394" t="s">
        <v>1546</v>
      </c>
    </row>
    <row r="22" spans="1:13" ht="30" hidden="1">
      <c r="D22" s="1393">
        <v>28</v>
      </c>
      <c r="E22" s="1394" t="s">
        <v>1547</v>
      </c>
      <c r="F22" s="1394" t="s">
        <v>1548</v>
      </c>
      <c r="G22" s="1395">
        <v>41214</v>
      </c>
      <c r="H22" s="470"/>
      <c r="I22" s="1394" t="s">
        <v>963</v>
      </c>
      <c r="J22" s="1394" t="s">
        <v>114</v>
      </c>
      <c r="K22" s="1393">
        <v>1665</v>
      </c>
      <c r="L22" s="1394" t="s">
        <v>114</v>
      </c>
      <c r="M22" s="1394" t="s">
        <v>1546</v>
      </c>
    </row>
    <row r="23" spans="1:13" ht="30" hidden="1">
      <c r="D23" s="1393">
        <v>31</v>
      </c>
      <c r="E23" s="1394" t="s">
        <v>1549</v>
      </c>
      <c r="F23" s="1394" t="s">
        <v>115</v>
      </c>
      <c r="G23" s="1395">
        <v>41243</v>
      </c>
      <c r="H23" s="470"/>
      <c r="I23" s="1394" t="s">
        <v>963</v>
      </c>
      <c r="J23" s="1394" t="s">
        <v>114</v>
      </c>
      <c r="K23" s="1393">
        <v>1666</v>
      </c>
      <c r="L23" s="1394" t="s">
        <v>114</v>
      </c>
      <c r="M23" s="1394" t="s">
        <v>1546</v>
      </c>
    </row>
    <row r="24" spans="1:13" ht="30" hidden="1">
      <c r="D24" s="1393">
        <v>32</v>
      </c>
      <c r="E24" s="1394" t="s">
        <v>1550</v>
      </c>
      <c r="F24" s="1394" t="s">
        <v>116</v>
      </c>
      <c r="G24" s="1395">
        <v>41094</v>
      </c>
      <c r="H24" s="470"/>
      <c r="I24" s="1394" t="s">
        <v>963</v>
      </c>
      <c r="J24" s="1394" t="s">
        <v>114</v>
      </c>
      <c r="K24" s="1393">
        <v>1668</v>
      </c>
      <c r="L24" s="1394" t="s">
        <v>1551</v>
      </c>
      <c r="M24" s="1394" t="s">
        <v>1546</v>
      </c>
    </row>
    <row r="25" spans="1:13" ht="30" hidden="1">
      <c r="D25" s="1393">
        <v>37</v>
      </c>
      <c r="E25" s="1394" t="s">
        <v>1552</v>
      </c>
      <c r="F25" s="1394" t="s">
        <v>117</v>
      </c>
      <c r="G25" s="1395">
        <v>41149</v>
      </c>
      <c r="H25" s="470"/>
      <c r="I25" s="1394" t="s">
        <v>963</v>
      </c>
      <c r="J25" s="1394" t="s">
        <v>114</v>
      </c>
      <c r="K25" s="1393">
        <v>1669</v>
      </c>
      <c r="L25" s="1394" t="s">
        <v>1553</v>
      </c>
      <c r="M25" s="1394" t="s">
        <v>1546</v>
      </c>
    </row>
    <row r="26" spans="1:13" ht="30" hidden="1">
      <c r="D26" s="1393">
        <v>38</v>
      </c>
      <c r="E26" s="1394" t="s">
        <v>1554</v>
      </c>
      <c r="F26" s="1394" t="s">
        <v>118</v>
      </c>
      <c r="G26" s="1395">
        <v>41180</v>
      </c>
      <c r="H26" s="1396">
        <v>41149</v>
      </c>
      <c r="I26" s="1394" t="s">
        <v>963</v>
      </c>
      <c r="J26" s="1394" t="s">
        <v>114</v>
      </c>
      <c r="K26" s="1393">
        <v>1670</v>
      </c>
      <c r="L26" s="1394" t="s">
        <v>1555</v>
      </c>
      <c r="M26" s="1394" t="s">
        <v>1546</v>
      </c>
    </row>
    <row r="27" spans="1:13" ht="30" hidden="1">
      <c r="D27" s="1393">
        <v>39</v>
      </c>
      <c r="E27" s="1394" t="s">
        <v>1556</v>
      </c>
      <c r="F27" s="1394" t="s">
        <v>1557</v>
      </c>
      <c r="G27" s="1395">
        <v>41021</v>
      </c>
      <c r="H27" s="470"/>
      <c r="I27" s="1394" t="s">
        <v>963</v>
      </c>
      <c r="J27" s="1394" t="s">
        <v>114</v>
      </c>
      <c r="K27" s="1393">
        <v>1671</v>
      </c>
      <c r="L27" s="1394" t="s">
        <v>1558</v>
      </c>
      <c r="M27" s="1394" t="s">
        <v>1546</v>
      </c>
    </row>
    <row r="28" spans="1:13" ht="30" hidden="1">
      <c r="D28" s="1393">
        <v>40</v>
      </c>
      <c r="E28" s="1394" t="s">
        <v>1559</v>
      </c>
      <c r="F28" s="1394" t="s">
        <v>119</v>
      </c>
      <c r="G28" s="1395">
        <v>41021</v>
      </c>
      <c r="H28" s="470"/>
      <c r="I28" s="1394" t="s">
        <v>963</v>
      </c>
      <c r="J28" s="1394" t="s">
        <v>114</v>
      </c>
      <c r="K28" s="1393">
        <v>1672</v>
      </c>
      <c r="L28" s="1394" t="s">
        <v>1560</v>
      </c>
      <c r="M28" s="1394" t="s">
        <v>1546</v>
      </c>
    </row>
    <row r="29" spans="1:13" ht="30" hidden="1">
      <c r="D29" s="1393">
        <v>43</v>
      </c>
      <c r="E29" s="1394" t="s">
        <v>1561</v>
      </c>
      <c r="F29" s="1394" t="s">
        <v>120</v>
      </c>
      <c r="G29" s="1395">
        <v>41028</v>
      </c>
      <c r="H29" s="470"/>
      <c r="I29" s="1394" t="s">
        <v>963</v>
      </c>
      <c r="J29" s="1394" t="s">
        <v>114</v>
      </c>
      <c r="K29" s="1393">
        <v>1674</v>
      </c>
      <c r="L29" s="1394" t="s">
        <v>1562</v>
      </c>
      <c r="M29" s="1394" t="s">
        <v>1546</v>
      </c>
    </row>
    <row r="30" spans="1:13" ht="30" hidden="1">
      <c r="D30" s="1393">
        <v>44</v>
      </c>
      <c r="E30" s="1394" t="s">
        <v>1563</v>
      </c>
      <c r="F30" s="1394" t="s">
        <v>121</v>
      </c>
      <c r="G30" s="1395">
        <v>41180</v>
      </c>
      <c r="H30" s="470"/>
      <c r="I30" s="1394" t="s">
        <v>963</v>
      </c>
      <c r="J30" s="1394" t="s">
        <v>114</v>
      </c>
      <c r="K30" s="1393">
        <v>1675</v>
      </c>
      <c r="L30" s="1394" t="s">
        <v>1564</v>
      </c>
      <c r="M30" s="1394" t="s">
        <v>1546</v>
      </c>
    </row>
    <row r="31" spans="1:13" ht="30" hidden="1">
      <c r="D31" s="1393">
        <v>46</v>
      </c>
      <c r="E31" s="1394" t="s">
        <v>1565</v>
      </c>
      <c r="F31" s="1394" t="s">
        <v>122</v>
      </c>
      <c r="G31" s="1395">
        <v>41051</v>
      </c>
      <c r="H31" s="1396">
        <v>41257</v>
      </c>
      <c r="I31" s="1394" t="s">
        <v>963</v>
      </c>
      <c r="J31" s="1394" t="s">
        <v>1566</v>
      </c>
      <c r="K31" s="1393">
        <v>1676</v>
      </c>
      <c r="L31" s="1394" t="s">
        <v>1567</v>
      </c>
      <c r="M31" s="1394" t="s">
        <v>1546</v>
      </c>
    </row>
    <row r="32" spans="1:13" ht="30" hidden="1">
      <c r="D32" s="1393">
        <v>47</v>
      </c>
      <c r="E32" s="1394" t="s">
        <v>1568</v>
      </c>
      <c r="F32" s="1394" t="s">
        <v>123</v>
      </c>
      <c r="G32" s="1395">
        <v>41021</v>
      </c>
      <c r="H32" s="470"/>
      <c r="I32" s="1394" t="s">
        <v>963</v>
      </c>
      <c r="J32" s="1394" t="s">
        <v>114</v>
      </c>
      <c r="K32" s="1393">
        <v>1677</v>
      </c>
      <c r="L32" s="1394" t="s">
        <v>1569</v>
      </c>
      <c r="M32" s="1394" t="s">
        <v>1546</v>
      </c>
    </row>
    <row r="33" spans="4:13" ht="15" hidden="1">
      <c r="D33" s="1393">
        <v>51</v>
      </c>
      <c r="E33" s="1394" t="s">
        <v>1570</v>
      </c>
      <c r="F33" s="1394" t="s">
        <v>124</v>
      </c>
      <c r="G33" s="1395">
        <v>41235</v>
      </c>
      <c r="H33" s="1396">
        <v>41210</v>
      </c>
      <c r="I33" s="1394" t="s">
        <v>963</v>
      </c>
      <c r="J33" s="1394" t="s">
        <v>1566</v>
      </c>
      <c r="K33" s="1393">
        <v>1682</v>
      </c>
      <c r="L33" s="1394" t="s">
        <v>1571</v>
      </c>
      <c r="M33" s="1394" t="s">
        <v>1546</v>
      </c>
    </row>
    <row r="34" spans="4:13" ht="15" hidden="1">
      <c r="D34" s="1393">
        <v>56</v>
      </c>
      <c r="E34" s="1394" t="s">
        <v>1572</v>
      </c>
      <c r="F34" s="1394" t="s">
        <v>1573</v>
      </c>
      <c r="G34" s="470"/>
      <c r="H34" s="470"/>
      <c r="I34" s="1394" t="s">
        <v>963</v>
      </c>
      <c r="J34" s="1394" t="s">
        <v>114</v>
      </c>
      <c r="K34" s="1393">
        <v>1683</v>
      </c>
      <c r="L34" s="1394" t="s">
        <v>114</v>
      </c>
      <c r="M34" s="1394" t="s">
        <v>1546</v>
      </c>
    </row>
    <row r="35" spans="4:13" ht="30" hidden="1">
      <c r="D35" s="1393">
        <v>63</v>
      </c>
      <c r="E35" s="1394" t="s">
        <v>1574</v>
      </c>
      <c r="F35" s="1394" t="s">
        <v>125</v>
      </c>
      <c r="G35" s="1395">
        <v>41007</v>
      </c>
      <c r="H35" s="470"/>
      <c r="I35" s="1394" t="s">
        <v>963</v>
      </c>
      <c r="J35" s="1394" t="s">
        <v>114</v>
      </c>
      <c r="K35" s="1393">
        <v>1688</v>
      </c>
      <c r="L35" s="1394" t="s">
        <v>1575</v>
      </c>
      <c r="M35" s="1394" t="s">
        <v>1546</v>
      </c>
    </row>
    <row r="36" spans="4:13" ht="30" hidden="1">
      <c r="D36" s="1393">
        <v>69</v>
      </c>
      <c r="E36" s="1394" t="s">
        <v>1576</v>
      </c>
      <c r="F36" s="1394" t="s">
        <v>1577</v>
      </c>
      <c r="G36" s="1395">
        <v>40990</v>
      </c>
      <c r="H36" s="1396">
        <v>42038</v>
      </c>
      <c r="I36" s="1394" t="s">
        <v>963</v>
      </c>
      <c r="J36" s="1394" t="s">
        <v>114</v>
      </c>
      <c r="K36" s="1393">
        <v>1692</v>
      </c>
      <c r="L36" s="1394" t="s">
        <v>1578</v>
      </c>
      <c r="M36" s="1394" t="s">
        <v>1546</v>
      </c>
    </row>
    <row r="37" spans="4:13" ht="30" hidden="1">
      <c r="D37" s="1393">
        <v>70</v>
      </c>
      <c r="E37" s="1394" t="s">
        <v>1579</v>
      </c>
      <c r="F37" s="1394" t="s">
        <v>1580</v>
      </c>
      <c r="G37" s="1395">
        <v>40990</v>
      </c>
      <c r="H37" s="1396">
        <v>42038</v>
      </c>
      <c r="I37" s="1394" t="s">
        <v>963</v>
      </c>
      <c r="J37" s="1394" t="s">
        <v>114</v>
      </c>
      <c r="K37" s="1393">
        <v>1693</v>
      </c>
      <c r="L37" s="1394" t="s">
        <v>1581</v>
      </c>
      <c r="M37" s="1394" t="s">
        <v>1546</v>
      </c>
    </row>
    <row r="38" spans="4:13" ht="30" hidden="1">
      <c r="D38" s="1393">
        <v>71</v>
      </c>
      <c r="E38" s="1394" t="s">
        <v>1582</v>
      </c>
      <c r="F38" s="1394" t="s">
        <v>1583</v>
      </c>
      <c r="G38" s="1395">
        <v>40990</v>
      </c>
      <c r="H38" s="1396">
        <v>42038</v>
      </c>
      <c r="I38" s="1394" t="s">
        <v>963</v>
      </c>
      <c r="J38" s="1394" t="s">
        <v>114</v>
      </c>
      <c r="K38" s="1393">
        <v>1694</v>
      </c>
      <c r="L38" s="1394" t="s">
        <v>1584</v>
      </c>
      <c r="M38" s="1394" t="s">
        <v>1546</v>
      </c>
    </row>
    <row r="39" spans="4:13" ht="30" hidden="1">
      <c r="D39" s="1393">
        <v>72</v>
      </c>
      <c r="E39" s="1394" t="s">
        <v>1585</v>
      </c>
      <c r="F39" s="1394" t="s">
        <v>166</v>
      </c>
      <c r="G39" s="1395">
        <v>40990</v>
      </c>
      <c r="H39" s="1396">
        <v>42038</v>
      </c>
      <c r="I39" s="1394" t="s">
        <v>963</v>
      </c>
      <c r="J39" s="1394" t="s">
        <v>114</v>
      </c>
      <c r="K39" s="1393">
        <v>1695</v>
      </c>
      <c r="L39" s="1394" t="s">
        <v>1586</v>
      </c>
      <c r="M39" s="1394" t="s">
        <v>1546</v>
      </c>
    </row>
    <row r="40" spans="4:13" ht="30" hidden="1">
      <c r="D40" s="1393">
        <v>73</v>
      </c>
      <c r="E40" s="1394" t="s">
        <v>1587</v>
      </c>
      <c r="F40" s="1394" t="s">
        <v>1588</v>
      </c>
      <c r="G40" s="1395">
        <v>40990</v>
      </c>
      <c r="H40" s="1396">
        <v>42038</v>
      </c>
      <c r="I40" s="1394" t="s">
        <v>963</v>
      </c>
      <c r="J40" s="1394" t="s">
        <v>1566</v>
      </c>
      <c r="K40" s="1393">
        <v>1696</v>
      </c>
      <c r="L40" s="1394" t="s">
        <v>1589</v>
      </c>
      <c r="M40" s="1394" t="s">
        <v>1546</v>
      </c>
    </row>
    <row r="41" spans="4:13" ht="30" hidden="1">
      <c r="D41" s="1393">
        <v>75</v>
      </c>
      <c r="E41" s="1394" t="s">
        <v>1590</v>
      </c>
      <c r="F41" s="1394" t="s">
        <v>1591</v>
      </c>
      <c r="G41" s="1395">
        <v>41039</v>
      </c>
      <c r="H41" s="470"/>
      <c r="I41" s="1394" t="s">
        <v>963</v>
      </c>
      <c r="J41" s="1394" t="s">
        <v>114</v>
      </c>
      <c r="K41" s="1393">
        <v>1697</v>
      </c>
      <c r="L41" s="1394" t="s">
        <v>1592</v>
      </c>
      <c r="M41" s="1394" t="s">
        <v>1546</v>
      </c>
    </row>
    <row r="42" spans="4:13" ht="30" hidden="1">
      <c r="D42" s="1393">
        <v>82</v>
      </c>
      <c r="E42" s="1394" t="s">
        <v>1593</v>
      </c>
      <c r="F42" s="1394" t="s">
        <v>126</v>
      </c>
      <c r="G42" s="1395">
        <v>41089</v>
      </c>
      <c r="H42" s="1396">
        <v>41084</v>
      </c>
      <c r="I42" s="1394" t="s">
        <v>963</v>
      </c>
      <c r="J42" s="1394" t="s">
        <v>1566</v>
      </c>
      <c r="K42" s="1393">
        <v>1701</v>
      </c>
      <c r="L42" s="1394" t="s">
        <v>1594</v>
      </c>
      <c r="M42" s="1394" t="s">
        <v>1546</v>
      </c>
    </row>
    <row r="43" spans="4:13" ht="30" hidden="1">
      <c r="D43" s="1393">
        <v>83</v>
      </c>
      <c r="E43" s="1394" t="s">
        <v>1595</v>
      </c>
      <c r="F43" s="1394" t="s">
        <v>168</v>
      </c>
      <c r="G43" s="1395">
        <v>41147</v>
      </c>
      <c r="H43" s="470"/>
      <c r="I43" s="1394" t="s">
        <v>963</v>
      </c>
      <c r="J43" s="1394" t="s">
        <v>1566</v>
      </c>
      <c r="K43" s="1393">
        <v>1702</v>
      </c>
      <c r="L43" s="1394" t="s">
        <v>1596</v>
      </c>
      <c r="M43" s="1394" t="s">
        <v>1546</v>
      </c>
    </row>
    <row r="44" spans="4:13" ht="30" hidden="1">
      <c r="D44" s="1393">
        <v>84</v>
      </c>
      <c r="E44" s="1394" t="s">
        <v>1597</v>
      </c>
      <c r="F44" s="1394" t="s">
        <v>1598</v>
      </c>
      <c r="G44" s="1395">
        <v>41089</v>
      </c>
      <c r="H44" s="470"/>
      <c r="I44" s="1394" t="s">
        <v>963</v>
      </c>
      <c r="J44" s="1394" t="s">
        <v>1566</v>
      </c>
      <c r="K44" s="1393">
        <v>1703</v>
      </c>
      <c r="L44" s="1394" t="s">
        <v>1599</v>
      </c>
      <c r="M44" s="1394" t="s">
        <v>1546</v>
      </c>
    </row>
    <row r="45" spans="4:13" ht="30" hidden="1">
      <c r="D45" s="1393">
        <v>86</v>
      </c>
      <c r="E45" s="1394" t="s">
        <v>1600</v>
      </c>
      <c r="F45" s="1394" t="s">
        <v>127</v>
      </c>
      <c r="G45" s="1395">
        <v>41150</v>
      </c>
      <c r="H45" s="1396">
        <v>41865</v>
      </c>
      <c r="I45" s="1394" t="s">
        <v>963</v>
      </c>
      <c r="J45" s="1394" t="s">
        <v>1566</v>
      </c>
      <c r="K45" s="1393">
        <v>1704</v>
      </c>
      <c r="L45" s="1394" t="s">
        <v>1601</v>
      </c>
      <c r="M45" s="1394" t="s">
        <v>1546</v>
      </c>
    </row>
    <row r="46" spans="4:13" ht="30" hidden="1">
      <c r="D46" s="1393">
        <v>87</v>
      </c>
      <c r="E46" s="1394" t="s">
        <v>1602</v>
      </c>
      <c r="F46" s="1394" t="s">
        <v>128</v>
      </c>
      <c r="G46" s="1395">
        <v>41150</v>
      </c>
      <c r="H46" s="1396">
        <v>41128</v>
      </c>
      <c r="I46" s="1394" t="s">
        <v>963</v>
      </c>
      <c r="J46" s="1394" t="s">
        <v>1566</v>
      </c>
      <c r="K46" s="1393">
        <v>1705</v>
      </c>
      <c r="L46" s="1394" t="s">
        <v>1603</v>
      </c>
      <c r="M46" s="1394" t="s">
        <v>1546</v>
      </c>
    </row>
    <row r="47" spans="4:13" ht="30" hidden="1">
      <c r="D47" s="1393">
        <v>88</v>
      </c>
      <c r="E47" s="1394" t="s">
        <v>1604</v>
      </c>
      <c r="F47" s="1394" t="s">
        <v>1605</v>
      </c>
      <c r="G47" s="1395">
        <v>41150</v>
      </c>
      <c r="H47" s="1396">
        <v>41865</v>
      </c>
      <c r="I47" s="1394" t="s">
        <v>963</v>
      </c>
      <c r="J47" s="1394" t="s">
        <v>1566</v>
      </c>
      <c r="K47" s="1393">
        <v>1706</v>
      </c>
      <c r="L47" s="1394" t="s">
        <v>1606</v>
      </c>
      <c r="M47" s="1394" t="s">
        <v>1546</v>
      </c>
    </row>
    <row r="48" spans="4:13" ht="15" hidden="1">
      <c r="D48" s="1393">
        <v>95</v>
      </c>
      <c r="E48" s="1394" t="s">
        <v>1607</v>
      </c>
      <c r="F48" s="1394" t="s">
        <v>129</v>
      </c>
      <c r="G48" s="1395">
        <v>41112</v>
      </c>
      <c r="H48" s="1396">
        <v>41089</v>
      </c>
      <c r="I48" s="1394" t="s">
        <v>963</v>
      </c>
      <c r="J48" s="1394" t="s">
        <v>1566</v>
      </c>
      <c r="K48" s="1393">
        <v>1708</v>
      </c>
      <c r="L48" s="1394" t="s">
        <v>1608</v>
      </c>
      <c r="M48" s="1394" t="s">
        <v>1546</v>
      </c>
    </row>
    <row r="49" spans="4:13" ht="30" hidden="1">
      <c r="D49" s="1393">
        <v>103</v>
      </c>
      <c r="E49" s="1394" t="s">
        <v>1609</v>
      </c>
      <c r="F49" s="1394" t="s">
        <v>130</v>
      </c>
      <c r="G49" s="1395">
        <v>41235</v>
      </c>
      <c r="H49" s="1396">
        <v>41164</v>
      </c>
      <c r="I49" s="1394" t="s">
        <v>963</v>
      </c>
      <c r="J49" s="1394" t="s">
        <v>1566</v>
      </c>
      <c r="K49" s="1393">
        <v>1710</v>
      </c>
      <c r="L49" s="1394" t="s">
        <v>1610</v>
      </c>
      <c r="M49" s="1394" t="s">
        <v>1546</v>
      </c>
    </row>
    <row r="50" spans="4:13" ht="30">
      <c r="D50" s="1393">
        <v>213</v>
      </c>
      <c r="E50" s="1394" t="s">
        <v>1611</v>
      </c>
      <c r="F50" s="1394" t="s">
        <v>1612</v>
      </c>
      <c r="G50" s="470"/>
      <c r="H50" s="470"/>
      <c r="I50" s="1394" t="s">
        <v>963</v>
      </c>
      <c r="J50" s="1394" t="s">
        <v>114</v>
      </c>
      <c r="K50" s="1393">
        <v>1757</v>
      </c>
      <c r="L50" s="1394" t="s">
        <v>114</v>
      </c>
      <c r="M50" s="1394" t="s">
        <v>1174</v>
      </c>
    </row>
    <row r="51" spans="4:13" ht="30" hidden="1">
      <c r="D51" s="1393">
        <v>369</v>
      </c>
      <c r="E51" s="1394" t="s">
        <v>1613</v>
      </c>
      <c r="F51" s="1394" t="s">
        <v>131</v>
      </c>
      <c r="G51" s="1395">
        <v>41243</v>
      </c>
      <c r="H51" s="1396">
        <v>41243</v>
      </c>
      <c r="I51" s="1394" t="s">
        <v>963</v>
      </c>
      <c r="J51" s="1394" t="s">
        <v>114</v>
      </c>
      <c r="K51" s="1393">
        <v>1770</v>
      </c>
      <c r="L51" s="1394" t="s">
        <v>1614</v>
      </c>
      <c r="M51" s="1394" t="s">
        <v>1546</v>
      </c>
    </row>
    <row r="52" spans="4:13" ht="15" hidden="1">
      <c r="D52" s="1393">
        <v>370</v>
      </c>
      <c r="E52" s="1394" t="s">
        <v>1615</v>
      </c>
      <c r="F52" s="1394" t="s">
        <v>1616</v>
      </c>
      <c r="G52" s="1395">
        <v>41214</v>
      </c>
      <c r="H52" s="1396">
        <v>41214</v>
      </c>
      <c r="I52" s="1394" t="s">
        <v>963</v>
      </c>
      <c r="J52" s="1394" t="s">
        <v>114</v>
      </c>
      <c r="K52" s="1393">
        <v>1771</v>
      </c>
      <c r="L52" s="1394" t="s">
        <v>1617</v>
      </c>
      <c r="M52" s="1394" t="s">
        <v>1546</v>
      </c>
    </row>
    <row r="53" spans="4:13" ht="30" hidden="1">
      <c r="D53" s="1393">
        <v>371</v>
      </c>
      <c r="E53" s="1394" t="s">
        <v>1618</v>
      </c>
      <c r="F53" s="1394" t="s">
        <v>132</v>
      </c>
      <c r="G53" s="1395">
        <v>40762</v>
      </c>
      <c r="H53" s="470"/>
      <c r="I53" s="1394" t="s">
        <v>963</v>
      </c>
      <c r="J53" s="1394" t="s">
        <v>114</v>
      </c>
      <c r="K53" s="1393">
        <v>1772</v>
      </c>
      <c r="L53" s="1394" t="s">
        <v>1619</v>
      </c>
      <c r="M53" s="1394" t="s">
        <v>1546</v>
      </c>
    </row>
    <row r="54" spans="4:13" ht="30" hidden="1">
      <c r="D54" s="1393">
        <v>380</v>
      </c>
      <c r="E54" s="1394" t="s">
        <v>1620</v>
      </c>
      <c r="F54" s="1394" t="s">
        <v>1621</v>
      </c>
      <c r="G54" s="1395">
        <v>41128</v>
      </c>
      <c r="H54" s="470"/>
      <c r="I54" s="1394" t="s">
        <v>963</v>
      </c>
      <c r="J54" s="1394" t="s">
        <v>114</v>
      </c>
      <c r="K54" s="1393">
        <v>1777</v>
      </c>
      <c r="L54" s="1394" t="s">
        <v>1622</v>
      </c>
      <c r="M54" s="1394" t="s">
        <v>1546</v>
      </c>
    </row>
    <row r="55" spans="4:13" ht="30" hidden="1">
      <c r="D55" s="1393">
        <v>381</v>
      </c>
      <c r="E55" s="1394" t="s">
        <v>1623</v>
      </c>
      <c r="F55" s="1394" t="s">
        <v>133</v>
      </c>
      <c r="G55" s="1395">
        <v>41143</v>
      </c>
      <c r="H55" s="1396">
        <v>41136</v>
      </c>
      <c r="I55" s="1394" t="s">
        <v>963</v>
      </c>
      <c r="J55" s="1394" t="s">
        <v>114</v>
      </c>
      <c r="K55" s="1393">
        <v>1778</v>
      </c>
      <c r="L55" s="1394" t="s">
        <v>1624</v>
      </c>
      <c r="M55" s="1394" t="s">
        <v>1546</v>
      </c>
    </row>
    <row r="56" spans="4:13" ht="30" hidden="1">
      <c r="D56" s="1393">
        <v>382</v>
      </c>
      <c r="E56" s="1394" t="s">
        <v>1625</v>
      </c>
      <c r="F56" s="1394" t="s">
        <v>134</v>
      </c>
      <c r="G56" s="1395">
        <v>40983</v>
      </c>
      <c r="H56" s="1396">
        <v>41220</v>
      </c>
      <c r="I56" s="1394" t="s">
        <v>963</v>
      </c>
      <c r="J56" s="1394" t="s">
        <v>114</v>
      </c>
      <c r="K56" s="1393">
        <v>1779</v>
      </c>
      <c r="L56" s="1394" t="s">
        <v>1626</v>
      </c>
      <c r="M56" s="1394" t="s">
        <v>1546</v>
      </c>
    </row>
    <row r="57" spans="4:13" ht="30" hidden="1">
      <c r="D57" s="1393">
        <v>383</v>
      </c>
      <c r="E57" s="1394" t="s">
        <v>1627</v>
      </c>
      <c r="F57" s="1394" t="s">
        <v>429</v>
      </c>
      <c r="G57" s="1395">
        <v>40983</v>
      </c>
      <c r="H57" s="470"/>
      <c r="I57" s="1394" t="s">
        <v>963</v>
      </c>
      <c r="J57" s="1394" t="s">
        <v>114</v>
      </c>
      <c r="K57" s="1393">
        <v>1780</v>
      </c>
      <c r="L57" s="1394" t="s">
        <v>1628</v>
      </c>
      <c r="M57" s="1394" t="s">
        <v>1546</v>
      </c>
    </row>
    <row r="58" spans="4:13" ht="30" hidden="1">
      <c r="D58" s="1393">
        <v>385</v>
      </c>
      <c r="E58" s="1394" t="s">
        <v>1629</v>
      </c>
      <c r="F58" s="1394" t="s">
        <v>136</v>
      </c>
      <c r="G58" s="1395">
        <v>41148</v>
      </c>
      <c r="H58" s="470"/>
      <c r="I58" s="1394" t="s">
        <v>963</v>
      </c>
      <c r="J58" s="1394" t="s">
        <v>114</v>
      </c>
      <c r="K58" s="1393">
        <v>1782</v>
      </c>
      <c r="L58" s="1394" t="s">
        <v>1630</v>
      </c>
      <c r="M58" s="1394" t="s">
        <v>1546</v>
      </c>
    </row>
    <row r="59" spans="4:13" ht="30" hidden="1">
      <c r="D59" s="1393">
        <v>386</v>
      </c>
      <c r="E59" s="1394" t="s">
        <v>1631</v>
      </c>
      <c r="F59" s="1394" t="s">
        <v>1632</v>
      </c>
      <c r="G59" s="1395">
        <v>41039</v>
      </c>
      <c r="H59" s="470"/>
      <c r="I59" s="1394" t="s">
        <v>963</v>
      </c>
      <c r="J59" s="1394" t="s">
        <v>114</v>
      </c>
      <c r="K59" s="1393">
        <v>1783</v>
      </c>
      <c r="L59" s="1394" t="s">
        <v>1633</v>
      </c>
      <c r="M59" s="1394" t="s">
        <v>1546</v>
      </c>
    </row>
    <row r="60" spans="4:13" ht="45" hidden="1">
      <c r="D60" s="1393">
        <v>390</v>
      </c>
      <c r="E60" s="1394" t="s">
        <v>1634</v>
      </c>
      <c r="F60" s="1394" t="s">
        <v>250</v>
      </c>
      <c r="G60" s="1395">
        <v>41094</v>
      </c>
      <c r="H60" s="470"/>
      <c r="I60" s="1394" t="s">
        <v>963</v>
      </c>
      <c r="J60" s="1394" t="s">
        <v>114</v>
      </c>
      <c r="K60" s="1393">
        <v>1787</v>
      </c>
      <c r="L60" s="1394" t="s">
        <v>1635</v>
      </c>
      <c r="M60" s="1394" t="s">
        <v>1546</v>
      </c>
    </row>
    <row r="61" spans="4:13" ht="30" hidden="1">
      <c r="D61" s="1393">
        <v>391</v>
      </c>
      <c r="E61" s="1394" t="s">
        <v>1636</v>
      </c>
      <c r="F61" s="1394" t="s">
        <v>228</v>
      </c>
      <c r="G61" s="1395">
        <v>41205</v>
      </c>
      <c r="H61" s="470"/>
      <c r="I61" s="1394" t="s">
        <v>963</v>
      </c>
      <c r="J61" s="1394" t="s">
        <v>114</v>
      </c>
      <c r="K61" s="1393">
        <v>1788</v>
      </c>
      <c r="L61" s="1394" t="s">
        <v>1637</v>
      </c>
      <c r="M61" s="1394" t="s">
        <v>1546</v>
      </c>
    </row>
    <row r="62" spans="4:13" ht="30" hidden="1">
      <c r="D62" s="1393">
        <v>396</v>
      </c>
      <c r="E62" s="1394" t="s">
        <v>1638</v>
      </c>
      <c r="F62" s="1394" t="s">
        <v>1639</v>
      </c>
      <c r="G62" s="1395">
        <v>41018</v>
      </c>
      <c r="H62" s="470"/>
      <c r="I62" s="1394" t="s">
        <v>963</v>
      </c>
      <c r="J62" s="1394" t="s">
        <v>114</v>
      </c>
      <c r="K62" s="1393">
        <v>1792</v>
      </c>
      <c r="L62" s="1394" t="s">
        <v>1640</v>
      </c>
      <c r="M62" s="1394" t="s">
        <v>1546</v>
      </c>
    </row>
    <row r="63" spans="4:13" ht="15" hidden="1">
      <c r="D63" s="1393">
        <v>397</v>
      </c>
      <c r="E63" s="1394" t="s">
        <v>1641</v>
      </c>
      <c r="F63" s="1394" t="s">
        <v>167</v>
      </c>
      <c r="G63" s="1395">
        <v>41079</v>
      </c>
      <c r="H63" s="1396">
        <v>39922</v>
      </c>
      <c r="I63" s="1394" t="s">
        <v>963</v>
      </c>
      <c r="J63" s="1394" t="s">
        <v>114</v>
      </c>
      <c r="K63" s="1393">
        <v>1793</v>
      </c>
      <c r="L63" s="1394" t="s">
        <v>1642</v>
      </c>
      <c r="M63" s="1394" t="s">
        <v>1546</v>
      </c>
    </row>
    <row r="64" spans="4:13" ht="30" hidden="1">
      <c r="D64" s="1393">
        <v>398</v>
      </c>
      <c r="E64" s="1394" t="s">
        <v>1643</v>
      </c>
      <c r="F64" s="1394" t="s">
        <v>137</v>
      </c>
      <c r="G64" s="1395">
        <v>41112</v>
      </c>
      <c r="H64" s="1396">
        <v>41089</v>
      </c>
      <c r="I64" s="1394" t="s">
        <v>963</v>
      </c>
      <c r="J64" s="1394" t="s">
        <v>1566</v>
      </c>
      <c r="K64" s="1393">
        <v>1794</v>
      </c>
      <c r="L64" s="1394" t="s">
        <v>1644</v>
      </c>
      <c r="M64" s="1394" t="s">
        <v>1546</v>
      </c>
    </row>
    <row r="65" spans="4:13" ht="30" hidden="1">
      <c r="D65" s="1393">
        <v>399</v>
      </c>
      <c r="E65" s="1394" t="s">
        <v>1645</v>
      </c>
      <c r="F65" s="1394" t="s">
        <v>138</v>
      </c>
      <c r="G65" s="1395">
        <v>41112</v>
      </c>
      <c r="H65" s="1396">
        <v>41089</v>
      </c>
      <c r="I65" s="1394" t="s">
        <v>963</v>
      </c>
      <c r="J65" s="1394" t="s">
        <v>1566</v>
      </c>
      <c r="K65" s="1393">
        <v>1795</v>
      </c>
      <c r="L65" s="1394" t="s">
        <v>1646</v>
      </c>
      <c r="M65" s="1394" t="s">
        <v>1546</v>
      </c>
    </row>
    <row r="66" spans="4:13" ht="30" hidden="1">
      <c r="D66" s="1393">
        <v>400</v>
      </c>
      <c r="E66" s="1394" t="s">
        <v>1647</v>
      </c>
      <c r="F66" s="1394" t="s">
        <v>139</v>
      </c>
      <c r="G66" s="1395">
        <v>41051</v>
      </c>
      <c r="H66" s="1396">
        <v>41018</v>
      </c>
      <c r="I66" s="1394" t="s">
        <v>963</v>
      </c>
      <c r="J66" s="1394" t="s">
        <v>1566</v>
      </c>
      <c r="K66" s="1393">
        <v>1796</v>
      </c>
      <c r="L66" s="1394" t="s">
        <v>1648</v>
      </c>
      <c r="M66" s="1394" t="s">
        <v>1546</v>
      </c>
    </row>
    <row r="67" spans="4:13" ht="30" hidden="1">
      <c r="D67" s="1393">
        <v>401</v>
      </c>
      <c r="E67" s="1394" t="s">
        <v>1649</v>
      </c>
      <c r="F67" s="1394" t="s">
        <v>140</v>
      </c>
      <c r="G67" s="1395">
        <v>41112</v>
      </c>
      <c r="H67" s="1396">
        <v>41089</v>
      </c>
      <c r="I67" s="1394" t="s">
        <v>963</v>
      </c>
      <c r="J67" s="1394" t="s">
        <v>1566</v>
      </c>
      <c r="K67" s="1393">
        <v>1797</v>
      </c>
      <c r="L67" s="1394" t="s">
        <v>1650</v>
      </c>
      <c r="M67" s="1394" t="s">
        <v>1546</v>
      </c>
    </row>
    <row r="68" spans="4:13" ht="30" hidden="1">
      <c r="D68" s="1393">
        <v>404</v>
      </c>
      <c r="E68" s="1394" t="s">
        <v>1651</v>
      </c>
      <c r="F68" s="1394" t="s">
        <v>141</v>
      </c>
      <c r="G68" s="1395">
        <v>41007</v>
      </c>
      <c r="H68" s="470"/>
      <c r="I68" s="1394" t="s">
        <v>963</v>
      </c>
      <c r="J68" s="1394" t="s">
        <v>114</v>
      </c>
      <c r="K68" s="1393">
        <v>1800</v>
      </c>
      <c r="L68" s="1394" t="s">
        <v>1652</v>
      </c>
      <c r="M68" s="1394" t="s">
        <v>1546</v>
      </c>
    </row>
    <row r="69" spans="4:13" ht="30" hidden="1">
      <c r="D69" s="1393">
        <v>405</v>
      </c>
      <c r="E69" s="1394" t="s">
        <v>1653</v>
      </c>
      <c r="F69" s="1394" t="s">
        <v>142</v>
      </c>
      <c r="G69" s="1395">
        <v>41007</v>
      </c>
      <c r="H69" s="470"/>
      <c r="I69" s="1394" t="s">
        <v>963</v>
      </c>
      <c r="J69" s="1394" t="s">
        <v>114</v>
      </c>
      <c r="K69" s="1393">
        <v>1802</v>
      </c>
      <c r="L69" s="1394" t="s">
        <v>1654</v>
      </c>
      <c r="M69" s="1394" t="s">
        <v>1546</v>
      </c>
    </row>
    <row r="70" spans="4:13" ht="30">
      <c r="D70" s="1393">
        <v>598</v>
      </c>
      <c r="E70" s="1394" t="s">
        <v>1655</v>
      </c>
      <c r="F70" s="1394" t="s">
        <v>1656</v>
      </c>
      <c r="G70" s="1395">
        <v>41485</v>
      </c>
      <c r="H70" s="470"/>
      <c r="I70" s="1394" t="s">
        <v>963</v>
      </c>
      <c r="J70" s="1394" t="s">
        <v>1566</v>
      </c>
      <c r="K70" s="1393">
        <v>1855</v>
      </c>
      <c r="L70" s="1394" t="s">
        <v>1657</v>
      </c>
      <c r="M70" s="1394" t="s">
        <v>1174</v>
      </c>
    </row>
    <row r="71" spans="4:13" ht="30">
      <c r="D71" s="1393">
        <v>2351</v>
      </c>
      <c r="E71" s="1394" t="s">
        <v>1658</v>
      </c>
      <c r="F71" s="1394" t="s">
        <v>403</v>
      </c>
      <c r="G71" s="1395">
        <v>41485</v>
      </c>
      <c r="H71" s="470"/>
      <c r="I71" s="1394" t="s">
        <v>963</v>
      </c>
      <c r="J71" s="1394" t="s">
        <v>1566</v>
      </c>
      <c r="K71" s="1393">
        <v>2062</v>
      </c>
      <c r="L71" s="1394" t="s">
        <v>1659</v>
      </c>
      <c r="M71" s="1394" t="s">
        <v>1174</v>
      </c>
    </row>
    <row r="72" spans="4:13" ht="45">
      <c r="D72" s="1393">
        <v>2381</v>
      </c>
      <c r="E72" s="1394" t="s">
        <v>1660</v>
      </c>
      <c r="F72" s="1394" t="s">
        <v>375</v>
      </c>
      <c r="G72" s="1395">
        <v>41485</v>
      </c>
      <c r="H72" s="470"/>
      <c r="I72" s="1394" t="s">
        <v>963</v>
      </c>
      <c r="J72" s="1394" t="s">
        <v>1566</v>
      </c>
      <c r="K72" s="1393">
        <v>2066</v>
      </c>
      <c r="L72" s="1394" t="s">
        <v>1661</v>
      </c>
      <c r="M72" s="1394" t="s">
        <v>1174</v>
      </c>
    </row>
    <row r="73" spans="4:13" ht="30" hidden="1">
      <c r="D73" s="1393">
        <v>2513</v>
      </c>
      <c r="E73" s="1394" t="s">
        <v>1662</v>
      </c>
      <c r="F73" s="1394" t="s">
        <v>1663</v>
      </c>
      <c r="G73" s="1395">
        <v>40909</v>
      </c>
      <c r="H73" s="470"/>
      <c r="I73" s="1394" t="s">
        <v>963</v>
      </c>
      <c r="J73" s="1394" t="s">
        <v>114</v>
      </c>
      <c r="K73" s="1393">
        <v>2076</v>
      </c>
      <c r="L73" s="1394" t="s">
        <v>114</v>
      </c>
      <c r="M73" s="1394" t="s">
        <v>114</v>
      </c>
    </row>
    <row r="74" spans="4:13" ht="45">
      <c r="D74" s="1393">
        <v>2763</v>
      </c>
      <c r="E74" s="1394" t="s">
        <v>1664</v>
      </c>
      <c r="F74" s="1394" t="s">
        <v>144</v>
      </c>
      <c r="G74" s="1395">
        <v>41485</v>
      </c>
      <c r="H74" s="470"/>
      <c r="I74" s="1394" t="s">
        <v>963</v>
      </c>
      <c r="J74" s="1394" t="s">
        <v>1566</v>
      </c>
      <c r="K74" s="1393">
        <v>2111</v>
      </c>
      <c r="L74" s="1394" t="s">
        <v>1665</v>
      </c>
      <c r="M74" s="1394" t="s">
        <v>1174</v>
      </c>
    </row>
    <row r="75" spans="4:13" ht="45">
      <c r="D75" s="1393">
        <v>2783</v>
      </c>
      <c r="E75" s="1394" t="s">
        <v>1666</v>
      </c>
      <c r="F75" s="1394" t="s">
        <v>414</v>
      </c>
      <c r="G75" s="1395">
        <v>41485</v>
      </c>
      <c r="H75" s="470"/>
      <c r="I75" s="1394" t="s">
        <v>963</v>
      </c>
      <c r="J75" s="1394" t="s">
        <v>1566</v>
      </c>
      <c r="K75" s="1393">
        <v>2114</v>
      </c>
      <c r="L75" s="1394" t="s">
        <v>1667</v>
      </c>
      <c r="M75" s="1394" t="s">
        <v>1174</v>
      </c>
    </row>
    <row r="76" spans="4:13" ht="15" hidden="1">
      <c r="D76" s="1393">
        <v>2866</v>
      </c>
      <c r="E76" s="1394" t="s">
        <v>1668</v>
      </c>
      <c r="F76" s="1394" t="s">
        <v>145</v>
      </c>
      <c r="G76" s="1395">
        <v>41084</v>
      </c>
      <c r="H76" s="470"/>
      <c r="I76" s="1394" t="s">
        <v>963</v>
      </c>
      <c r="J76" s="1394" t="s">
        <v>114</v>
      </c>
      <c r="K76" s="1393">
        <v>2126</v>
      </c>
      <c r="L76" s="1394" t="s">
        <v>1669</v>
      </c>
      <c r="M76" s="1394" t="s">
        <v>1546</v>
      </c>
    </row>
    <row r="77" spans="4:13" ht="30" hidden="1">
      <c r="D77" s="1393">
        <v>2904</v>
      </c>
      <c r="E77" s="1394" t="s">
        <v>1670</v>
      </c>
      <c r="F77" s="1394" t="s">
        <v>1671</v>
      </c>
      <c r="G77" s="1395">
        <v>41150</v>
      </c>
      <c r="H77" s="1396">
        <v>41135</v>
      </c>
      <c r="I77" s="1394" t="s">
        <v>963</v>
      </c>
      <c r="J77" s="1394" t="s">
        <v>1566</v>
      </c>
      <c r="K77" s="1393">
        <v>2134</v>
      </c>
      <c r="L77" s="1394" t="s">
        <v>1672</v>
      </c>
      <c r="M77" s="1394" t="s">
        <v>1546</v>
      </c>
    </row>
    <row r="78" spans="4:13" ht="30" hidden="1">
      <c r="D78" s="1393">
        <v>2937</v>
      </c>
      <c r="E78" s="1394" t="s">
        <v>1673</v>
      </c>
      <c r="F78" s="1394" t="s">
        <v>146</v>
      </c>
      <c r="G78" s="1395">
        <v>41205</v>
      </c>
      <c r="H78" s="470"/>
      <c r="I78" s="1394" t="s">
        <v>963</v>
      </c>
      <c r="J78" s="1394" t="s">
        <v>114</v>
      </c>
      <c r="K78" s="1393">
        <v>2141</v>
      </c>
      <c r="L78" s="1394" t="s">
        <v>1674</v>
      </c>
      <c r="M78" s="1394" t="s">
        <v>1546</v>
      </c>
    </row>
    <row r="79" spans="4:13" ht="30">
      <c r="D79" s="1393">
        <v>3223</v>
      </c>
      <c r="E79" s="1394" t="s">
        <v>1675</v>
      </c>
      <c r="F79" s="1394" t="s">
        <v>387</v>
      </c>
      <c r="G79" s="1395">
        <v>41423</v>
      </c>
      <c r="H79" s="470"/>
      <c r="I79" s="1394" t="s">
        <v>963</v>
      </c>
      <c r="J79" s="1394" t="s">
        <v>1566</v>
      </c>
      <c r="K79" s="1393">
        <v>2193</v>
      </c>
      <c r="L79" s="1394" t="s">
        <v>1676</v>
      </c>
      <c r="M79" s="1394" t="s">
        <v>1174</v>
      </c>
    </row>
    <row r="80" spans="4:13" ht="45">
      <c r="D80" s="1393">
        <v>3627</v>
      </c>
      <c r="E80" s="1394" t="s">
        <v>1677</v>
      </c>
      <c r="F80" s="1394" t="s">
        <v>398</v>
      </c>
      <c r="G80" s="1395">
        <v>41485</v>
      </c>
      <c r="H80" s="470"/>
      <c r="I80" s="1394" t="s">
        <v>963</v>
      </c>
      <c r="J80" s="1394" t="s">
        <v>1566</v>
      </c>
      <c r="K80" s="1393">
        <v>2215</v>
      </c>
      <c r="L80" s="1394" t="s">
        <v>1678</v>
      </c>
      <c r="M80" s="1394" t="s">
        <v>1174</v>
      </c>
    </row>
    <row r="81" spans="4:13" ht="45">
      <c r="D81" s="1393">
        <v>4248</v>
      </c>
      <c r="E81" s="1394" t="s">
        <v>1679</v>
      </c>
      <c r="F81" s="1394" t="s">
        <v>1680</v>
      </c>
      <c r="G81" s="1395">
        <v>41485</v>
      </c>
      <c r="H81" s="470"/>
      <c r="I81" s="1394" t="s">
        <v>963</v>
      </c>
      <c r="J81" s="1394" t="s">
        <v>1566</v>
      </c>
      <c r="K81" s="1393">
        <v>2245</v>
      </c>
      <c r="L81" s="1394" t="s">
        <v>1681</v>
      </c>
      <c r="M81" s="1394" t="s">
        <v>1174</v>
      </c>
    </row>
    <row r="82" spans="4:13" ht="105" hidden="1">
      <c r="D82" s="1393">
        <v>4950</v>
      </c>
      <c r="E82" s="1394" t="s">
        <v>1682</v>
      </c>
      <c r="F82" s="1394" t="s">
        <v>147</v>
      </c>
      <c r="G82" s="1395">
        <v>41057</v>
      </c>
      <c r="H82" s="1396">
        <v>41007</v>
      </c>
      <c r="I82" s="1394" t="s">
        <v>963</v>
      </c>
      <c r="J82" s="1394" t="s">
        <v>114</v>
      </c>
      <c r="K82" s="1393">
        <v>2285</v>
      </c>
      <c r="L82" s="1394" t="s">
        <v>1683</v>
      </c>
      <c r="M82" s="1394" t="s">
        <v>1546</v>
      </c>
    </row>
    <row r="83" spans="4:13" ht="15" hidden="1">
      <c r="D83" s="1393">
        <v>5160</v>
      </c>
      <c r="E83" s="1394" t="s">
        <v>1684</v>
      </c>
      <c r="F83" s="1394" t="s">
        <v>148</v>
      </c>
      <c r="G83" s="1395">
        <v>41204</v>
      </c>
      <c r="H83" s="1396">
        <v>41147</v>
      </c>
      <c r="I83" s="1394" t="s">
        <v>963</v>
      </c>
      <c r="J83" s="1394" t="s">
        <v>114</v>
      </c>
      <c r="K83" s="1393">
        <v>2313</v>
      </c>
      <c r="L83" s="1394" t="s">
        <v>1685</v>
      </c>
      <c r="M83" s="1394" t="s">
        <v>1546</v>
      </c>
    </row>
    <row r="84" spans="4:13" ht="30" hidden="1">
      <c r="D84" s="1393">
        <v>5216</v>
      </c>
      <c r="E84" s="1394" t="s">
        <v>1686</v>
      </c>
      <c r="F84" s="1394" t="s">
        <v>1687</v>
      </c>
      <c r="G84" s="1395">
        <v>41039</v>
      </c>
      <c r="H84" s="470"/>
      <c r="I84" s="1394" t="s">
        <v>963</v>
      </c>
      <c r="J84" s="1394" t="s">
        <v>114</v>
      </c>
      <c r="K84" s="1393">
        <v>2330</v>
      </c>
      <c r="L84" s="1394" t="s">
        <v>1688</v>
      </c>
      <c r="M84" s="1394" t="s">
        <v>1546</v>
      </c>
    </row>
    <row r="85" spans="4:13" ht="30" hidden="1">
      <c r="D85" s="1393">
        <v>5217</v>
      </c>
      <c r="E85" s="1394" t="s">
        <v>1689</v>
      </c>
      <c r="F85" s="1394" t="s">
        <v>1690</v>
      </c>
      <c r="G85" s="1395">
        <v>41039</v>
      </c>
      <c r="H85" s="470"/>
      <c r="I85" s="1394" t="s">
        <v>963</v>
      </c>
      <c r="J85" s="1394" t="s">
        <v>114</v>
      </c>
      <c r="K85" s="1393">
        <v>2331</v>
      </c>
      <c r="L85" s="1394" t="s">
        <v>1691</v>
      </c>
      <c r="M85" s="1394" t="s">
        <v>1546</v>
      </c>
    </row>
    <row r="86" spans="4:13" ht="45">
      <c r="D86" s="1393">
        <v>5274</v>
      </c>
      <c r="E86" s="1394" t="s">
        <v>1692</v>
      </c>
      <c r="F86" s="1394" t="s">
        <v>149</v>
      </c>
      <c r="G86" s="1395">
        <v>41393</v>
      </c>
      <c r="H86" s="470"/>
      <c r="I86" s="1394" t="s">
        <v>963</v>
      </c>
      <c r="J86" s="1394" t="s">
        <v>1566</v>
      </c>
      <c r="K86" s="1393">
        <v>2339</v>
      </c>
      <c r="L86" s="1394" t="s">
        <v>1693</v>
      </c>
      <c r="M86" s="1394" t="s">
        <v>1174</v>
      </c>
    </row>
    <row r="87" spans="4:13" ht="45">
      <c r="D87" s="1393">
        <v>5351</v>
      </c>
      <c r="E87" s="1394" t="s">
        <v>1694</v>
      </c>
      <c r="F87" s="1394" t="s">
        <v>150</v>
      </c>
      <c r="G87" s="1395">
        <v>41212</v>
      </c>
      <c r="H87" s="470"/>
      <c r="I87" s="1394" t="s">
        <v>963</v>
      </c>
      <c r="J87" s="1394" t="s">
        <v>1566</v>
      </c>
      <c r="K87" s="1393">
        <v>2340</v>
      </c>
      <c r="L87" s="1394" t="s">
        <v>1695</v>
      </c>
      <c r="M87" s="1394" t="s">
        <v>1174</v>
      </c>
    </row>
    <row r="88" spans="4:13" ht="60">
      <c r="D88" s="1393">
        <v>5352</v>
      </c>
      <c r="E88" s="1394" t="s">
        <v>1696</v>
      </c>
      <c r="F88" s="1394" t="s">
        <v>310</v>
      </c>
      <c r="G88" s="1395">
        <v>41182</v>
      </c>
      <c r="H88" s="470"/>
      <c r="I88" s="1394" t="s">
        <v>963</v>
      </c>
      <c r="J88" s="1394" t="s">
        <v>1566</v>
      </c>
      <c r="K88" s="1393">
        <v>2341</v>
      </c>
      <c r="L88" s="1394" t="s">
        <v>1697</v>
      </c>
      <c r="M88" s="1394" t="s">
        <v>1174</v>
      </c>
    </row>
    <row r="89" spans="4:13" ht="45">
      <c r="D89" s="1393">
        <v>5353</v>
      </c>
      <c r="E89" s="1394" t="s">
        <v>1698</v>
      </c>
      <c r="F89" s="1394" t="s">
        <v>151</v>
      </c>
      <c r="G89" s="1395">
        <v>41182</v>
      </c>
      <c r="H89" s="470"/>
      <c r="I89" s="1394" t="s">
        <v>963</v>
      </c>
      <c r="J89" s="1394" t="s">
        <v>1566</v>
      </c>
      <c r="K89" s="1393">
        <v>2342</v>
      </c>
      <c r="L89" s="1394" t="s">
        <v>1699</v>
      </c>
      <c r="M89" s="1394" t="s">
        <v>1174</v>
      </c>
    </row>
    <row r="90" spans="4:13" ht="30">
      <c r="D90" s="1393">
        <v>5355</v>
      </c>
      <c r="E90" s="1394" t="s">
        <v>1700</v>
      </c>
      <c r="F90" s="1394" t="s">
        <v>321</v>
      </c>
      <c r="G90" s="1395">
        <v>41182</v>
      </c>
      <c r="H90" s="470"/>
      <c r="I90" s="1394" t="s">
        <v>963</v>
      </c>
      <c r="J90" s="1394" t="s">
        <v>1566</v>
      </c>
      <c r="K90" s="1393">
        <v>2343</v>
      </c>
      <c r="L90" s="1394" t="s">
        <v>1701</v>
      </c>
      <c r="M90" s="1394" t="s">
        <v>1174</v>
      </c>
    </row>
    <row r="91" spans="4:13" ht="30">
      <c r="D91" s="1393">
        <v>5363</v>
      </c>
      <c r="E91" s="1394" t="s">
        <v>1702</v>
      </c>
      <c r="F91" s="1394" t="s">
        <v>328</v>
      </c>
      <c r="G91" s="1395">
        <v>41182</v>
      </c>
      <c r="H91" s="470"/>
      <c r="I91" s="1394" t="s">
        <v>963</v>
      </c>
      <c r="J91" s="1394" t="s">
        <v>1566</v>
      </c>
      <c r="K91" s="1393">
        <v>2344</v>
      </c>
      <c r="L91" s="1394" t="s">
        <v>1703</v>
      </c>
      <c r="M91" s="1394" t="s">
        <v>1174</v>
      </c>
    </row>
    <row r="92" spans="4:13" ht="30">
      <c r="D92" s="1393">
        <v>5364</v>
      </c>
      <c r="E92" s="1394" t="s">
        <v>1704</v>
      </c>
      <c r="F92" s="1394" t="s">
        <v>333</v>
      </c>
      <c r="G92" s="1395">
        <v>41182</v>
      </c>
      <c r="H92" s="470"/>
      <c r="I92" s="1394" t="s">
        <v>963</v>
      </c>
      <c r="J92" s="1394" t="s">
        <v>1566</v>
      </c>
      <c r="K92" s="1393">
        <v>2345</v>
      </c>
      <c r="L92" s="1394" t="s">
        <v>1705</v>
      </c>
      <c r="M92" s="1394" t="s">
        <v>1174</v>
      </c>
    </row>
    <row r="93" spans="4:13" ht="30">
      <c r="D93" s="1393">
        <v>5365</v>
      </c>
      <c r="E93" s="1394" t="s">
        <v>1706</v>
      </c>
      <c r="F93" s="1394" t="s">
        <v>339</v>
      </c>
      <c r="G93" s="1395">
        <v>41182</v>
      </c>
      <c r="H93" s="470"/>
      <c r="I93" s="1394" t="s">
        <v>963</v>
      </c>
      <c r="J93" s="1394" t="s">
        <v>1566</v>
      </c>
      <c r="K93" s="1393">
        <v>2346</v>
      </c>
      <c r="L93" s="1394" t="s">
        <v>1707</v>
      </c>
      <c r="M93" s="1394" t="s">
        <v>1174</v>
      </c>
    </row>
    <row r="94" spans="4:13" ht="45">
      <c r="D94" s="1393">
        <v>5366</v>
      </c>
      <c r="E94" s="1394" t="s">
        <v>1708</v>
      </c>
      <c r="F94" s="1394" t="s">
        <v>153</v>
      </c>
      <c r="G94" s="1395">
        <v>41182</v>
      </c>
      <c r="H94" s="470"/>
      <c r="I94" s="1394" t="s">
        <v>963</v>
      </c>
      <c r="J94" s="1394" t="s">
        <v>1566</v>
      </c>
      <c r="K94" s="1393">
        <v>2347</v>
      </c>
      <c r="L94" s="1394" t="s">
        <v>1709</v>
      </c>
      <c r="M94" s="1394" t="s">
        <v>1174</v>
      </c>
    </row>
    <row r="95" spans="4:13" ht="30">
      <c r="D95" s="1393">
        <v>5367</v>
      </c>
      <c r="E95" s="1394" t="s">
        <v>1710</v>
      </c>
      <c r="F95" s="1394" t="s">
        <v>9</v>
      </c>
      <c r="G95" s="1395">
        <v>40899</v>
      </c>
      <c r="H95" s="470"/>
      <c r="I95" s="1394" t="s">
        <v>963</v>
      </c>
      <c r="J95" s="1394" t="s">
        <v>1566</v>
      </c>
      <c r="K95" s="1393">
        <v>2348</v>
      </c>
      <c r="L95" s="1394" t="s">
        <v>1711</v>
      </c>
      <c r="M95" s="1394" t="s">
        <v>1174</v>
      </c>
    </row>
    <row r="96" spans="4:13" ht="30">
      <c r="D96" s="1393">
        <v>5368</v>
      </c>
      <c r="E96" s="1394" t="s">
        <v>1712</v>
      </c>
      <c r="F96" s="1394" t="s">
        <v>344</v>
      </c>
      <c r="G96" s="1395">
        <v>41182</v>
      </c>
      <c r="H96" s="470"/>
      <c r="I96" s="1394" t="s">
        <v>963</v>
      </c>
      <c r="J96" s="1394" t="s">
        <v>1566</v>
      </c>
      <c r="K96" s="1393">
        <v>2349</v>
      </c>
      <c r="L96" s="1394" t="s">
        <v>1713</v>
      </c>
      <c r="M96" s="1394" t="s">
        <v>1174</v>
      </c>
    </row>
    <row r="97" spans="4:13" ht="30">
      <c r="D97" s="1393">
        <v>5369</v>
      </c>
      <c r="E97" s="1394" t="s">
        <v>1714</v>
      </c>
      <c r="F97" s="1394" t="s">
        <v>349</v>
      </c>
      <c r="G97" s="1395">
        <v>41182</v>
      </c>
      <c r="H97" s="470"/>
      <c r="I97" s="1394" t="s">
        <v>963</v>
      </c>
      <c r="J97" s="1394" t="s">
        <v>1566</v>
      </c>
      <c r="K97" s="1393">
        <v>2350</v>
      </c>
      <c r="L97" s="1394" t="s">
        <v>1715</v>
      </c>
      <c r="M97" s="1394" t="s">
        <v>1174</v>
      </c>
    </row>
    <row r="98" spans="4:13" ht="30">
      <c r="D98" s="1393">
        <v>5370</v>
      </c>
      <c r="E98" s="1394" t="s">
        <v>1716</v>
      </c>
      <c r="F98" s="1394" t="s">
        <v>154</v>
      </c>
      <c r="G98" s="1395">
        <v>41182</v>
      </c>
      <c r="H98" s="470"/>
      <c r="I98" s="1394" t="s">
        <v>963</v>
      </c>
      <c r="J98" s="1394" t="s">
        <v>1566</v>
      </c>
      <c r="K98" s="1393">
        <v>2351</v>
      </c>
      <c r="L98" s="1394" t="s">
        <v>1717</v>
      </c>
      <c r="M98" s="1394" t="s">
        <v>1174</v>
      </c>
    </row>
    <row r="99" spans="4:13" ht="30">
      <c r="D99" s="1393">
        <v>5371</v>
      </c>
      <c r="E99" s="1394" t="s">
        <v>1718</v>
      </c>
      <c r="F99" s="1394" t="s">
        <v>358</v>
      </c>
      <c r="G99" s="1395">
        <v>41182</v>
      </c>
      <c r="H99" s="470"/>
      <c r="I99" s="1394" t="s">
        <v>963</v>
      </c>
      <c r="J99" s="1394" t="s">
        <v>1566</v>
      </c>
      <c r="K99" s="1393">
        <v>2352</v>
      </c>
      <c r="L99" s="1394" t="s">
        <v>1719</v>
      </c>
      <c r="M99" s="1394" t="s">
        <v>1174</v>
      </c>
    </row>
    <row r="100" spans="4:13" ht="30">
      <c r="D100" s="1393">
        <v>5373</v>
      </c>
      <c r="E100" s="1394" t="s">
        <v>1720</v>
      </c>
      <c r="F100" s="1394" t="s">
        <v>365</v>
      </c>
      <c r="G100" s="1395">
        <v>41182</v>
      </c>
      <c r="H100" s="470"/>
      <c r="I100" s="1394" t="s">
        <v>963</v>
      </c>
      <c r="J100" s="1394" t="s">
        <v>1566</v>
      </c>
      <c r="K100" s="1393">
        <v>2353</v>
      </c>
      <c r="L100" s="1394" t="s">
        <v>1721</v>
      </c>
      <c r="M100" s="1394" t="s">
        <v>1174</v>
      </c>
    </row>
    <row r="101" spans="4:13" ht="45">
      <c r="D101" s="1393">
        <v>5377</v>
      </c>
      <c r="E101" s="1394" t="s">
        <v>1722</v>
      </c>
      <c r="F101" s="1394" t="s">
        <v>309</v>
      </c>
      <c r="G101" s="1395">
        <v>41393</v>
      </c>
      <c r="H101" s="470"/>
      <c r="I101" s="1394" t="s">
        <v>963</v>
      </c>
      <c r="J101" s="1394" t="s">
        <v>1566</v>
      </c>
      <c r="K101" s="1393">
        <v>2355</v>
      </c>
      <c r="L101" s="1394" t="s">
        <v>1723</v>
      </c>
      <c r="M101" s="1394" t="s">
        <v>1174</v>
      </c>
    </row>
    <row r="102" spans="4:13" ht="45">
      <c r="D102" s="1393">
        <v>5378</v>
      </c>
      <c r="E102" s="1394" t="s">
        <v>1724</v>
      </c>
      <c r="F102" s="1394" t="s">
        <v>241</v>
      </c>
      <c r="G102" s="1395">
        <v>41393</v>
      </c>
      <c r="H102" s="470"/>
      <c r="I102" s="1394" t="s">
        <v>963</v>
      </c>
      <c r="J102" s="1394" t="s">
        <v>1566</v>
      </c>
      <c r="K102" s="1393">
        <v>2356</v>
      </c>
      <c r="L102" s="1394" t="s">
        <v>1725</v>
      </c>
      <c r="M102" s="1394" t="s">
        <v>1174</v>
      </c>
    </row>
    <row r="103" spans="4:13" ht="45">
      <c r="D103" s="1393">
        <v>5379</v>
      </c>
      <c r="E103" s="1394" t="s">
        <v>1726</v>
      </c>
      <c r="F103" s="1394" t="s">
        <v>277</v>
      </c>
      <c r="G103" s="1395">
        <v>41212</v>
      </c>
      <c r="H103" s="470"/>
      <c r="I103" s="1394" t="s">
        <v>963</v>
      </c>
      <c r="J103" s="1394" t="s">
        <v>1566</v>
      </c>
      <c r="K103" s="1393">
        <v>2357</v>
      </c>
      <c r="L103" s="1394" t="s">
        <v>1727</v>
      </c>
      <c r="M103" s="1394" t="s">
        <v>1174</v>
      </c>
    </row>
    <row r="104" spans="4:13" ht="45">
      <c r="D104" s="1393">
        <v>5381</v>
      </c>
      <c r="E104" s="1394" t="s">
        <v>1728</v>
      </c>
      <c r="F104" s="1394" t="s">
        <v>220</v>
      </c>
      <c r="G104" s="1395">
        <v>41152</v>
      </c>
      <c r="H104" s="470"/>
      <c r="I104" s="1394" t="s">
        <v>963</v>
      </c>
      <c r="J104" s="1394" t="s">
        <v>1566</v>
      </c>
      <c r="K104" s="1393">
        <v>2358</v>
      </c>
      <c r="L104" s="1394" t="s">
        <v>1729</v>
      </c>
      <c r="M104" s="1394" t="s">
        <v>1174</v>
      </c>
    </row>
    <row r="105" spans="4:13" ht="45">
      <c r="D105" s="1393">
        <v>5382</v>
      </c>
      <c r="E105" s="1394" t="s">
        <v>1730</v>
      </c>
      <c r="F105" s="1394" t="s">
        <v>246</v>
      </c>
      <c r="G105" s="1395">
        <v>41101</v>
      </c>
      <c r="H105" s="470"/>
      <c r="I105" s="1394" t="s">
        <v>963</v>
      </c>
      <c r="J105" s="1394" t="s">
        <v>1566</v>
      </c>
      <c r="K105" s="1393">
        <v>2359</v>
      </c>
      <c r="L105" s="1394" t="s">
        <v>1731</v>
      </c>
      <c r="M105" s="1394" t="s">
        <v>1174</v>
      </c>
    </row>
    <row r="106" spans="4:13" ht="45">
      <c r="D106" s="1393">
        <v>5384</v>
      </c>
      <c r="E106" s="1394" t="s">
        <v>1732</v>
      </c>
      <c r="F106" s="1394" t="s">
        <v>266</v>
      </c>
      <c r="G106" s="1395">
        <v>41423</v>
      </c>
      <c r="H106" s="470"/>
      <c r="I106" s="1394" t="s">
        <v>963</v>
      </c>
      <c r="J106" s="1394" t="s">
        <v>1566</v>
      </c>
      <c r="K106" s="1393">
        <v>2360</v>
      </c>
      <c r="L106" s="1394" t="s">
        <v>1733</v>
      </c>
      <c r="M106" s="1394" t="s">
        <v>1174</v>
      </c>
    </row>
    <row r="107" spans="4:13" ht="45">
      <c r="D107" s="1393">
        <v>5385</v>
      </c>
      <c r="E107" s="1394" t="s">
        <v>1734</v>
      </c>
      <c r="F107" s="1394" t="s">
        <v>271</v>
      </c>
      <c r="G107" s="1395">
        <v>41379</v>
      </c>
      <c r="H107" s="470"/>
      <c r="I107" s="1394" t="s">
        <v>963</v>
      </c>
      <c r="J107" s="1394" t="s">
        <v>1566</v>
      </c>
      <c r="K107" s="1393">
        <v>2361</v>
      </c>
      <c r="L107" s="1394" t="s">
        <v>1735</v>
      </c>
      <c r="M107" s="1394" t="s">
        <v>1174</v>
      </c>
    </row>
    <row r="108" spans="4:13" ht="45">
      <c r="D108" s="1393">
        <v>5386</v>
      </c>
      <c r="E108" s="1394" t="s">
        <v>1736</v>
      </c>
      <c r="F108" s="1394" t="s">
        <v>236</v>
      </c>
      <c r="G108" s="1395">
        <v>41212</v>
      </c>
      <c r="H108" s="470"/>
      <c r="I108" s="1394" t="s">
        <v>963</v>
      </c>
      <c r="J108" s="1394" t="s">
        <v>1566</v>
      </c>
      <c r="K108" s="1393">
        <v>2362</v>
      </c>
      <c r="L108" s="1394" t="s">
        <v>1737</v>
      </c>
      <c r="M108" s="1394" t="s">
        <v>1174</v>
      </c>
    </row>
    <row r="109" spans="4:13" ht="15" hidden="1">
      <c r="D109" s="1393">
        <v>5697</v>
      </c>
      <c r="E109" s="1394" t="s">
        <v>1738</v>
      </c>
      <c r="F109" s="1394" t="s">
        <v>156</v>
      </c>
      <c r="G109" s="1395">
        <v>41143</v>
      </c>
      <c r="H109" s="1396">
        <v>41128</v>
      </c>
      <c r="I109" s="1394" t="s">
        <v>963</v>
      </c>
      <c r="J109" s="1394" t="s">
        <v>114</v>
      </c>
      <c r="K109" s="1393">
        <v>2382</v>
      </c>
      <c r="L109" s="1394" t="s">
        <v>1739</v>
      </c>
      <c r="M109" s="1394" t="s">
        <v>1546</v>
      </c>
    </row>
    <row r="110" spans="4:13" ht="30" hidden="1">
      <c r="D110" s="1393">
        <v>5707</v>
      </c>
      <c r="E110" s="1394" t="s">
        <v>1740</v>
      </c>
      <c r="F110" s="1394" t="s">
        <v>157</v>
      </c>
      <c r="G110" s="1395">
        <v>41235</v>
      </c>
      <c r="H110" s="1396">
        <v>41207</v>
      </c>
      <c r="I110" s="1394" t="s">
        <v>963</v>
      </c>
      <c r="J110" s="1394" t="s">
        <v>114</v>
      </c>
      <c r="K110" s="1393">
        <v>2386</v>
      </c>
      <c r="L110" s="1394" t="s">
        <v>1741</v>
      </c>
      <c r="M110" s="1394" t="s">
        <v>1546</v>
      </c>
    </row>
    <row r="111" spans="4:13" ht="15" hidden="1">
      <c r="D111" s="1393">
        <v>6072</v>
      </c>
      <c r="E111" s="1394" t="s">
        <v>1742</v>
      </c>
      <c r="F111" s="1394" t="s">
        <v>1743</v>
      </c>
      <c r="G111" s="1395">
        <v>41204</v>
      </c>
      <c r="H111" s="1396">
        <v>41164</v>
      </c>
      <c r="I111" s="1394" t="s">
        <v>963</v>
      </c>
      <c r="J111" s="1394" t="s">
        <v>114</v>
      </c>
      <c r="K111" s="1393">
        <v>2407</v>
      </c>
      <c r="L111" s="1394" t="s">
        <v>1744</v>
      </c>
      <c r="M111" s="1394" t="s">
        <v>1546</v>
      </c>
    </row>
    <row r="112" spans="4:13" ht="30" hidden="1">
      <c r="D112" s="1393">
        <v>6585</v>
      </c>
      <c r="E112" s="1394" t="s">
        <v>1745</v>
      </c>
      <c r="F112" s="1394" t="s">
        <v>158</v>
      </c>
      <c r="G112" s="1395">
        <v>41082</v>
      </c>
      <c r="H112" s="1396">
        <v>41078</v>
      </c>
      <c r="I112" s="1394" t="s">
        <v>963</v>
      </c>
      <c r="J112" s="1394" t="s">
        <v>114</v>
      </c>
      <c r="K112" s="1393">
        <v>2444</v>
      </c>
      <c r="L112" s="1394" t="s">
        <v>1746</v>
      </c>
      <c r="M112" s="1394" t="s">
        <v>1546</v>
      </c>
    </row>
    <row r="113" spans="4:13" ht="30" hidden="1">
      <c r="D113" s="1393">
        <v>6587</v>
      </c>
      <c r="E113" s="1394" t="s">
        <v>1747</v>
      </c>
      <c r="F113" s="1394" t="s">
        <v>159</v>
      </c>
      <c r="G113" s="1395">
        <v>41021</v>
      </c>
      <c r="H113" s="470"/>
      <c r="I113" s="1394" t="s">
        <v>963</v>
      </c>
      <c r="J113" s="1394" t="s">
        <v>114</v>
      </c>
      <c r="K113" s="1393">
        <v>2445</v>
      </c>
      <c r="L113" s="1394" t="s">
        <v>1748</v>
      </c>
      <c r="M113" s="1394" t="s">
        <v>1546</v>
      </c>
    </row>
    <row r="114" spans="4:13" ht="30" hidden="1">
      <c r="D114" s="1393">
        <v>6600</v>
      </c>
      <c r="E114" s="1394" t="s">
        <v>1749</v>
      </c>
      <c r="F114" s="1394" t="s">
        <v>160</v>
      </c>
      <c r="G114" s="1395">
        <v>41149</v>
      </c>
      <c r="H114" s="470"/>
      <c r="I114" s="1394" t="s">
        <v>963</v>
      </c>
      <c r="J114" s="1394" t="s">
        <v>114</v>
      </c>
      <c r="K114" s="1393">
        <v>2452</v>
      </c>
      <c r="L114" s="1394" t="s">
        <v>1750</v>
      </c>
      <c r="M114" s="1394" t="s">
        <v>1546</v>
      </c>
    </row>
    <row r="115" spans="4:13" ht="60">
      <c r="D115" s="1393">
        <v>6609</v>
      </c>
      <c r="E115" s="1394" t="s">
        <v>1751</v>
      </c>
      <c r="F115" s="1394" t="s">
        <v>259</v>
      </c>
      <c r="G115" s="1395">
        <v>41411</v>
      </c>
      <c r="H115" s="470"/>
      <c r="I115" s="1394" t="s">
        <v>963</v>
      </c>
      <c r="J115" s="1394" t="s">
        <v>1566</v>
      </c>
      <c r="K115" s="1393">
        <v>2455</v>
      </c>
      <c r="L115" s="1394" t="s">
        <v>1752</v>
      </c>
      <c r="M115" s="1394" t="s">
        <v>1174</v>
      </c>
    </row>
    <row r="116" spans="4:13" ht="45">
      <c r="D116" s="1393">
        <v>6610</v>
      </c>
      <c r="E116" s="1394" t="s">
        <v>1753</v>
      </c>
      <c r="F116" s="1394" t="s">
        <v>253</v>
      </c>
      <c r="G116" s="1395">
        <v>41243</v>
      </c>
      <c r="H116" s="470"/>
      <c r="I116" s="1394" t="s">
        <v>963</v>
      </c>
      <c r="J116" s="1394" t="s">
        <v>1566</v>
      </c>
      <c r="K116" s="1393">
        <v>2456</v>
      </c>
      <c r="L116" s="1394" t="s">
        <v>1754</v>
      </c>
      <c r="M116" s="1394" t="s">
        <v>1174</v>
      </c>
    </row>
    <row r="117" spans="4:13" ht="30" hidden="1">
      <c r="D117" s="1393">
        <v>6611</v>
      </c>
      <c r="E117" s="1394" t="s">
        <v>1755</v>
      </c>
      <c r="F117" s="1394" t="s">
        <v>162</v>
      </c>
      <c r="G117" s="1395">
        <v>40943</v>
      </c>
      <c r="H117" s="470"/>
      <c r="I117" s="1394" t="s">
        <v>963</v>
      </c>
      <c r="J117" s="1394" t="s">
        <v>114</v>
      </c>
      <c r="K117" s="1393">
        <v>2457</v>
      </c>
      <c r="L117" s="1394" t="s">
        <v>1756</v>
      </c>
      <c r="M117" s="1394" t="s">
        <v>1546</v>
      </c>
    </row>
    <row r="118" spans="4:13" ht="30" hidden="1">
      <c r="D118" s="1393">
        <v>6612</v>
      </c>
      <c r="E118" s="1394" t="s">
        <v>1757</v>
      </c>
      <c r="F118" s="1394" t="s">
        <v>163</v>
      </c>
      <c r="G118" s="1395">
        <v>41082</v>
      </c>
      <c r="H118" s="1396">
        <v>41078</v>
      </c>
      <c r="I118" s="1394" t="s">
        <v>963</v>
      </c>
      <c r="J118" s="1394" t="s">
        <v>1566</v>
      </c>
      <c r="K118" s="1393">
        <v>2458</v>
      </c>
      <c r="L118" s="1394" t="s">
        <v>1758</v>
      </c>
      <c r="M118" s="1394" t="s">
        <v>1546</v>
      </c>
    </row>
    <row r="119" spans="4:13" ht="30">
      <c r="D119" s="1393">
        <v>6896</v>
      </c>
      <c r="E119" s="1394" t="s">
        <v>1759</v>
      </c>
      <c r="F119" s="1394" t="s">
        <v>252</v>
      </c>
      <c r="G119" s="1395">
        <v>41182</v>
      </c>
      <c r="H119" s="470"/>
      <c r="I119" s="1394" t="s">
        <v>963</v>
      </c>
      <c r="J119" s="1394" t="s">
        <v>1566</v>
      </c>
      <c r="K119" s="1393">
        <v>2479</v>
      </c>
      <c r="L119" s="1394" t="s">
        <v>1760</v>
      </c>
      <c r="M119" s="1394" t="s">
        <v>1174</v>
      </c>
    </row>
    <row r="120" spans="4:13" ht="45">
      <c r="D120" s="1393">
        <v>6897</v>
      </c>
      <c r="E120" s="1394" t="s">
        <v>1761</v>
      </c>
      <c r="F120" s="1394" t="s">
        <v>1762</v>
      </c>
      <c r="G120" s="1395">
        <v>41182</v>
      </c>
      <c r="H120" s="470"/>
      <c r="I120" s="1394" t="s">
        <v>963</v>
      </c>
      <c r="J120" s="1394" t="s">
        <v>1566</v>
      </c>
      <c r="K120" s="1393">
        <v>2480</v>
      </c>
      <c r="L120" s="1394" t="s">
        <v>1763</v>
      </c>
      <c r="M120" s="1394" t="s">
        <v>1174</v>
      </c>
    </row>
    <row r="121" spans="4:13" ht="30">
      <c r="D121" s="1393">
        <v>6898</v>
      </c>
      <c r="E121" s="1394" t="s">
        <v>1764</v>
      </c>
      <c r="F121" s="1394" t="s">
        <v>299</v>
      </c>
      <c r="G121" s="1395">
        <v>41182</v>
      </c>
      <c r="H121" s="470"/>
      <c r="I121" s="1394" t="s">
        <v>963</v>
      </c>
      <c r="J121" s="1394" t="s">
        <v>1566</v>
      </c>
      <c r="K121" s="1393">
        <v>2481</v>
      </c>
      <c r="L121" s="1394" t="s">
        <v>1765</v>
      </c>
      <c r="M121" s="1394" t="s">
        <v>1174</v>
      </c>
    </row>
    <row r="122" spans="4:13" ht="30">
      <c r="D122" s="1393">
        <v>7016</v>
      </c>
      <c r="E122" s="1394" t="s">
        <v>1766</v>
      </c>
      <c r="F122" s="1394" t="s">
        <v>370</v>
      </c>
      <c r="G122" s="1395">
        <v>41182</v>
      </c>
      <c r="H122" s="470"/>
      <c r="I122" s="1394" t="s">
        <v>963</v>
      </c>
      <c r="J122" s="1394" t="s">
        <v>1566</v>
      </c>
      <c r="K122" s="1393">
        <v>2496</v>
      </c>
      <c r="L122" s="1394" t="s">
        <v>1767</v>
      </c>
      <c r="M122" s="1394" t="s">
        <v>1174</v>
      </c>
    </row>
    <row r="123" spans="4:13" ht="30" hidden="1">
      <c r="D123" s="1393">
        <v>7019</v>
      </c>
      <c r="E123" s="1394" t="s">
        <v>1768</v>
      </c>
      <c r="F123" s="1394" t="s">
        <v>164</v>
      </c>
      <c r="G123" s="1395">
        <v>41214</v>
      </c>
      <c r="H123" s="1396">
        <v>41214</v>
      </c>
      <c r="I123" s="1394" t="s">
        <v>963</v>
      </c>
      <c r="J123" s="1394" t="s">
        <v>114</v>
      </c>
      <c r="K123" s="1393">
        <v>2497</v>
      </c>
      <c r="L123" s="1394" t="s">
        <v>1769</v>
      </c>
      <c r="M123" s="1394" t="s">
        <v>1546</v>
      </c>
    </row>
    <row r="124" spans="4:13" ht="30">
      <c r="D124" s="1393">
        <v>7371</v>
      </c>
      <c r="E124" s="1394" t="s">
        <v>1770</v>
      </c>
      <c r="F124" s="1394" t="s">
        <v>165</v>
      </c>
      <c r="G124" s="1395">
        <v>41485</v>
      </c>
      <c r="H124" s="470"/>
      <c r="I124" s="1394" t="s">
        <v>963</v>
      </c>
      <c r="J124" s="1394" t="s">
        <v>1566</v>
      </c>
      <c r="K124" s="1393">
        <v>2527</v>
      </c>
      <c r="L124" s="1394" t="s">
        <v>1771</v>
      </c>
      <c r="M124" s="1394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1772</v>
      </c>
      <c r="G3" s="424" t="s">
        <v>1773</v>
      </c>
    </row>
    <row r="4" spans="2:7">
      <c r="B4" s="435" t="s">
        <v>1774</v>
      </c>
      <c r="C4" s="435" t="s">
        <v>1775</v>
      </c>
      <c r="D4" s="435" t="s">
        <v>856</v>
      </c>
      <c r="E4" s="424"/>
      <c r="F4" s="1397" t="s">
        <v>1776</v>
      </c>
      <c r="G4" s="1398" t="e">
        <f>(C10*G7)/G5</f>
        <v>#REF!</v>
      </c>
    </row>
    <row r="5" spans="2:7">
      <c r="B5" s="1399" t="s">
        <v>1777</v>
      </c>
      <c r="C5" s="1400"/>
      <c r="D5" s="1401"/>
      <c r="F5" s="1397" t="s">
        <v>1778</v>
      </c>
      <c r="G5" s="1402" t="e">
        <f>(((1+C7)^G6)*C7)/(((1+C7)^G6)-1)</f>
        <v>#REF!</v>
      </c>
    </row>
    <row r="6" spans="2:7">
      <c r="B6" s="1399" t="s">
        <v>1779</v>
      </c>
      <c r="C6" s="1400"/>
      <c r="D6" s="1401"/>
      <c r="F6" s="1397" t="s">
        <v>1780</v>
      </c>
      <c r="G6" s="1403" t="e">
        <f>G7/(C8*C9)</f>
        <v>#REF!</v>
      </c>
    </row>
    <row r="7" spans="2:7">
      <c r="B7" s="1399" t="s">
        <v>1781</v>
      </c>
      <c r="C7" s="1404">
        <f>'BD-NET'!Q114</f>
        <v>8.1942000000000001E-2</v>
      </c>
      <c r="D7" s="1401"/>
      <c r="F7" s="1397" t="s">
        <v>1782</v>
      </c>
      <c r="G7" s="1405">
        <f>12*(20000*C6+10000*C5)</f>
        <v>0</v>
      </c>
    </row>
    <row r="8" spans="2:7">
      <c r="B8" s="1399" t="s">
        <v>1783</v>
      </c>
      <c r="C8" s="1406" t="e">
        <f>C24</f>
        <v>#REF!</v>
      </c>
      <c r="D8" s="1407" t="s">
        <v>1784</v>
      </c>
    </row>
    <row r="9" spans="2:7">
      <c r="B9" s="1399" t="s">
        <v>1785</v>
      </c>
      <c r="C9" s="1408"/>
      <c r="D9" s="1401"/>
    </row>
    <row r="10" spans="2:7">
      <c r="B10" s="1399" t="s">
        <v>1786</v>
      </c>
      <c r="C10" s="1409" t="e">
        <f>F14</f>
        <v>#REF!</v>
      </c>
      <c r="D10" s="1401"/>
    </row>
    <row r="12" spans="2:7">
      <c r="B12" s="435" t="s">
        <v>1787</v>
      </c>
      <c r="C12" s="435" t="s">
        <v>725</v>
      </c>
      <c r="D12" s="435" t="s">
        <v>1788</v>
      </c>
      <c r="E12" s="435" t="s">
        <v>1789</v>
      </c>
      <c r="F12" s="435" t="s">
        <v>1790</v>
      </c>
    </row>
    <row r="13" spans="2:7" ht="13.5" thickBot="1">
      <c r="B13" s="1399" t="s">
        <v>1791</v>
      </c>
      <c r="C13" s="1410" t="e">
        <f>C38</f>
        <v>#REF!</v>
      </c>
      <c r="D13" s="1399"/>
      <c r="E13" s="1399"/>
      <c r="F13" s="1411"/>
    </row>
    <row r="14" spans="2:7" ht="13.5" thickBot="1">
      <c r="B14" s="1399" t="s">
        <v>1792</v>
      </c>
      <c r="C14" s="1410" t="e">
        <f>(C32+E55)*($C$38/$C$35)</f>
        <v>#REF!</v>
      </c>
      <c r="D14" s="1412" t="e">
        <f>$C$17*(C14/($C$14+$C$15+$C$16))</f>
        <v>#REF!</v>
      </c>
      <c r="E14" s="1413" t="e">
        <f>C14-D14</f>
        <v>#REF!</v>
      </c>
      <c r="F14" s="458" t="e">
        <f>E14/$C$13</f>
        <v>#REF!</v>
      </c>
      <c r="G14" s="459" t="s">
        <v>1793</v>
      </c>
    </row>
    <row r="15" spans="2:7">
      <c r="B15" s="1399" t="s">
        <v>1794</v>
      </c>
      <c r="C15" s="1410" t="e">
        <f>C27*($C$38/$C$35)</f>
        <v>#REF!</v>
      </c>
      <c r="D15" s="1412" t="e">
        <f>$C$17*(C15/($C$14+$C$15+$C$16))</f>
        <v>#REF!</v>
      </c>
      <c r="E15" s="1412" t="e">
        <f>C15-D15</f>
        <v>#REF!</v>
      </c>
      <c r="F15" s="1414" t="e">
        <f>E15/$C$13</f>
        <v>#REF!</v>
      </c>
    </row>
    <row r="16" spans="2:7">
      <c r="B16" s="1399" t="s">
        <v>1795</v>
      </c>
      <c r="C16" s="1410" t="e">
        <f>(C33+D54)*($C$38/$C$35)</f>
        <v>#REF!</v>
      </c>
      <c r="D16" s="1412" t="e">
        <f>$C$17*(C16/($C$14+$C$15+$C$16))</f>
        <v>#REF!</v>
      </c>
      <c r="E16" s="1412" t="e">
        <f>C16-D16</f>
        <v>#REF!</v>
      </c>
      <c r="F16" s="1415" t="e">
        <f>E16/$C$13</f>
        <v>#REF!</v>
      </c>
    </row>
    <row r="17" spans="2:6">
      <c r="B17" s="1399" t="s">
        <v>1796</v>
      </c>
      <c r="C17" s="1410" t="e">
        <f>C39</f>
        <v>#REF!</v>
      </c>
      <c r="D17" s="1399"/>
      <c r="E17" s="1399"/>
      <c r="F17" s="1416" t="e">
        <f>C17/C13</f>
        <v>#REF!</v>
      </c>
    </row>
    <row r="18" spans="2:6">
      <c r="D18" s="440" t="e">
        <f>SUM(D14:D17)</f>
        <v>#REF!</v>
      </c>
      <c r="F18" s="1417" t="e">
        <f>SUM(F14:F17)</f>
        <v>#REF!</v>
      </c>
    </row>
    <row r="19" spans="2:6">
      <c r="B19" s="431" t="s">
        <v>1797</v>
      </c>
    </row>
    <row r="20" spans="2:6">
      <c r="B20" s="431"/>
    </row>
    <row r="21" spans="2:6">
      <c r="B21" s="1418" t="s">
        <v>1798</v>
      </c>
      <c r="C21" s="1419" t="e">
        <f>LnkTxtPBCAOMCAA</f>
        <v>#NAME?</v>
      </c>
    </row>
    <row r="22" spans="2:6">
      <c r="B22" s="432" t="s">
        <v>1799</v>
      </c>
      <c r="C22" s="433">
        <v>1.15E-2</v>
      </c>
    </row>
    <row r="23" spans="2:6">
      <c r="B23" s="432" t="s">
        <v>1800</v>
      </c>
      <c r="C23" s="433">
        <v>0</v>
      </c>
    </row>
    <row r="24" spans="2:6">
      <c r="B24" s="1418" t="s">
        <v>1801</v>
      </c>
      <c r="C24" s="1419" t="e">
        <f>#REF!+#REF!</f>
        <v>#REF!</v>
      </c>
    </row>
    <row r="27" spans="2:6">
      <c r="B27" s="1418" t="s">
        <v>1802</v>
      </c>
      <c r="C27" s="1419" t="e">
        <f>#REF!</f>
        <v>#REF!</v>
      </c>
    </row>
    <row r="28" spans="2:6">
      <c r="B28" s="432" t="s">
        <v>1803</v>
      </c>
      <c r="C28" s="438" t="e">
        <f>#REF!</f>
        <v>#REF!</v>
      </c>
    </row>
    <row r="29" spans="2:6">
      <c r="B29" s="432" t="s">
        <v>1804</v>
      </c>
      <c r="C29" s="438"/>
    </row>
    <row r="30" spans="2:6">
      <c r="B30" s="432" t="s">
        <v>1805</v>
      </c>
      <c r="C30" s="438" t="e">
        <f>#REF!</f>
        <v>#REF!</v>
      </c>
    </row>
    <row r="31" spans="2:6">
      <c r="B31" s="1418" t="s">
        <v>1806</v>
      </c>
      <c r="C31" s="1419" t="e">
        <f>#REF!</f>
        <v>#REF!</v>
      </c>
    </row>
    <row r="32" spans="2:6">
      <c r="B32" s="432" t="s">
        <v>1807</v>
      </c>
      <c r="C32" s="438" t="e">
        <f>#REF!</f>
        <v>#REF!</v>
      </c>
    </row>
    <row r="33" spans="2:4">
      <c r="B33" s="432" t="s">
        <v>1808</v>
      </c>
      <c r="C33" s="438" t="e">
        <f>#REF!</f>
        <v>#REF!</v>
      </c>
    </row>
    <row r="34" spans="2:4">
      <c r="B34" s="432" t="s">
        <v>1809</v>
      </c>
      <c r="C34" s="438" t="e">
        <f>#REF!</f>
        <v>#REF!</v>
      </c>
    </row>
    <row r="35" spans="2:4">
      <c r="B35" s="1418" t="s">
        <v>1798</v>
      </c>
      <c r="C35" s="1419" t="e">
        <f>C21</f>
        <v>#NAME?</v>
      </c>
    </row>
    <row r="36" spans="2:4">
      <c r="B36" s="432" t="s">
        <v>1799</v>
      </c>
      <c r="C36" s="433">
        <f>C22</f>
        <v>1.15E-2</v>
      </c>
    </row>
    <row r="37" spans="2:4">
      <c r="B37" s="432" t="s">
        <v>1800</v>
      </c>
      <c r="C37" s="433">
        <f>C23</f>
        <v>0</v>
      </c>
    </row>
    <row r="38" spans="2:4">
      <c r="B38" s="1418" t="s">
        <v>1801</v>
      </c>
      <c r="C38" s="1419" t="e">
        <f>C24</f>
        <v>#REF!</v>
      </c>
    </row>
    <row r="39" spans="2:4">
      <c r="B39" s="432" t="s">
        <v>1810</v>
      </c>
      <c r="C39" s="438" t="e">
        <f>#REF!</f>
        <v>#REF!</v>
      </c>
    </row>
    <row r="40" spans="2:4">
      <c r="B40" s="1420" t="s">
        <v>1811</v>
      </c>
      <c r="C40" s="1421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1812</v>
      </c>
      <c r="C2" s="427"/>
      <c r="H2" s="428" t="s">
        <v>1813</v>
      </c>
    </row>
    <row r="3" spans="2:17">
      <c r="B3" s="1422" t="s">
        <v>1774</v>
      </c>
      <c r="C3" s="1422" t="s">
        <v>1775</v>
      </c>
      <c r="D3" s="1423" t="s">
        <v>856</v>
      </c>
      <c r="E3" s="1423" t="s">
        <v>1814</v>
      </c>
      <c r="F3" s="1423" t="s">
        <v>1815</v>
      </c>
      <c r="H3" s="428" t="s">
        <v>1816</v>
      </c>
      <c r="M3" s="423" t="s">
        <v>1817</v>
      </c>
      <c r="O3" s="423" t="s">
        <v>1817</v>
      </c>
      <c r="P3" s="423" t="s">
        <v>1817</v>
      </c>
    </row>
    <row r="4" spans="2:17">
      <c r="B4" s="1424" t="s">
        <v>1818</v>
      </c>
      <c r="C4" s="1425" t="e">
        <f>12*C5*(1-$E$13)*1/$E$16</f>
        <v>#DIV/0!</v>
      </c>
      <c r="D4" s="1401" t="s">
        <v>1819</v>
      </c>
      <c r="E4" s="1401"/>
      <c r="F4" s="1401"/>
      <c r="H4" s="1422" t="s">
        <v>1820</v>
      </c>
      <c r="I4" s="1422" t="s">
        <v>1821</v>
      </c>
      <c r="J4" s="1422" t="s">
        <v>1822</v>
      </c>
      <c r="K4" s="1422" t="s">
        <v>1823</v>
      </c>
      <c r="L4" s="1422" t="s">
        <v>1824</v>
      </c>
      <c r="M4" s="1422" t="s">
        <v>897</v>
      </c>
      <c r="N4" s="1422" t="s">
        <v>533</v>
      </c>
      <c r="O4" s="1422" t="s">
        <v>537</v>
      </c>
      <c r="P4" s="1422" t="s">
        <v>535</v>
      </c>
      <c r="Q4" s="1422" t="s">
        <v>538</v>
      </c>
    </row>
    <row r="5" spans="2:17">
      <c r="B5" s="1424" t="s">
        <v>1779</v>
      </c>
      <c r="C5" s="1426"/>
      <c r="D5" s="1401"/>
      <c r="E5" s="1401"/>
      <c r="F5" s="1401" t="s">
        <v>1825</v>
      </c>
      <c r="H5" s="1424" t="s">
        <v>1818</v>
      </c>
      <c r="I5" s="1425" t="e">
        <f t="shared" ref="I5:Q5" si="0">12*I6*(1-$E$13)*1/$E$16</f>
        <v>#DIV/0!</v>
      </c>
      <c r="J5" s="1425" t="e">
        <f t="shared" si="0"/>
        <v>#DIV/0!</v>
      </c>
      <c r="K5" s="1425" t="e">
        <f t="shared" si="0"/>
        <v>#DIV/0!</v>
      </c>
      <c r="L5" s="1425" t="e">
        <f t="shared" si="0"/>
        <v>#DIV/0!</v>
      </c>
      <c r="M5" s="1425" t="e">
        <f t="shared" si="0"/>
        <v>#DIV/0!</v>
      </c>
      <c r="N5" s="1425" t="e">
        <f t="shared" si="0"/>
        <v>#DIV/0!</v>
      </c>
      <c r="O5" s="1425" t="e">
        <f t="shared" si="0"/>
        <v>#DIV/0!</v>
      </c>
      <c r="P5" s="1425" t="e">
        <f t="shared" si="0"/>
        <v>#DIV/0!</v>
      </c>
      <c r="Q5" s="1425" t="e">
        <f t="shared" si="0"/>
        <v>#DIV/0!</v>
      </c>
    </row>
    <row r="6" spans="2:17">
      <c r="B6" s="1424" t="s">
        <v>1826</v>
      </c>
      <c r="C6" s="1427"/>
      <c r="D6" s="1401" t="s">
        <v>1827</v>
      </c>
      <c r="E6" s="1401"/>
      <c r="F6" s="1428"/>
      <c r="H6" s="1424" t="s">
        <v>1779</v>
      </c>
      <c r="I6" s="1429"/>
      <c r="J6" s="1429"/>
      <c r="K6" s="1429"/>
      <c r="L6" s="1429"/>
      <c r="M6" s="1400"/>
      <c r="N6" s="1430"/>
      <c r="O6" s="1400"/>
      <c r="P6" s="1400"/>
      <c r="Q6" s="1400"/>
    </row>
    <row r="7" spans="2:17">
      <c r="B7" s="1424" t="s">
        <v>1828</v>
      </c>
      <c r="C7" s="1427"/>
      <c r="D7" s="1401" t="s">
        <v>1829</v>
      </c>
      <c r="E7" s="1401"/>
      <c r="F7" s="1428"/>
      <c r="H7" s="1424" t="s">
        <v>1826</v>
      </c>
      <c r="I7" s="1887">
        <f>C6</f>
        <v>0</v>
      </c>
      <c r="J7" s="1888"/>
      <c r="K7" s="1888"/>
      <c r="L7" s="1888"/>
      <c r="M7" s="1888"/>
      <c r="N7" s="1888"/>
      <c r="O7" s="1888"/>
      <c r="P7" s="1888"/>
      <c r="Q7" s="1889"/>
    </row>
    <row r="8" spans="2:17">
      <c r="B8" s="1424" t="s">
        <v>1830</v>
      </c>
      <c r="C8" s="1431"/>
      <c r="D8" s="1401" t="s">
        <v>1831</v>
      </c>
      <c r="E8" s="1401" t="s">
        <v>1832</v>
      </c>
      <c r="F8" s="1432"/>
      <c r="G8" s="429"/>
      <c r="H8" s="1424" t="s">
        <v>1830</v>
      </c>
      <c r="I8" s="1890">
        <f>C8</f>
        <v>0</v>
      </c>
      <c r="J8" s="1891"/>
      <c r="K8" s="1891"/>
      <c r="L8" s="1891"/>
      <c r="M8" s="1891"/>
      <c r="N8" s="1891"/>
      <c r="O8" s="1891"/>
      <c r="P8" s="1891"/>
      <c r="Q8" s="1892"/>
    </row>
    <row r="9" spans="2:17">
      <c r="B9" s="1424" t="s">
        <v>1833</v>
      </c>
      <c r="C9" s="1427"/>
      <c r="D9" s="1401" t="s">
        <v>1834</v>
      </c>
      <c r="E9" s="1401"/>
      <c r="F9" s="1432"/>
      <c r="H9" s="1424" t="s">
        <v>1833</v>
      </c>
      <c r="I9" s="1887">
        <f>C9</f>
        <v>0</v>
      </c>
      <c r="J9" s="1888"/>
      <c r="K9" s="1888"/>
      <c r="L9" s="1888"/>
      <c r="M9" s="1888"/>
      <c r="N9" s="1888"/>
      <c r="O9" s="1888"/>
      <c r="P9" s="1888"/>
      <c r="Q9" s="1889"/>
    </row>
    <row r="10" spans="2:17">
      <c r="B10" s="1424" t="s">
        <v>1835</v>
      </c>
      <c r="C10" s="1431"/>
      <c r="D10" s="1401" t="s">
        <v>1836</v>
      </c>
      <c r="E10" s="1401" t="s">
        <v>1837</v>
      </c>
      <c r="F10" s="1432"/>
      <c r="G10" s="429"/>
      <c r="H10" s="1424" t="s">
        <v>1835</v>
      </c>
      <c r="I10" s="1893">
        <f>C10</f>
        <v>0</v>
      </c>
      <c r="J10" s="1894"/>
      <c r="K10" s="1894"/>
      <c r="L10" s="1894"/>
      <c r="M10" s="1894"/>
      <c r="N10" s="1894"/>
      <c r="O10" s="1894"/>
      <c r="P10" s="1894"/>
      <c r="Q10" s="1895"/>
    </row>
    <row r="12" spans="2:17">
      <c r="D12" s="426" t="s">
        <v>1838</v>
      </c>
    </row>
    <row r="13" spans="2:17">
      <c r="D13" s="1397" t="s">
        <v>1839</v>
      </c>
      <c r="E13" s="1433" t="e">
        <f>C10/C8</f>
        <v>#DIV/0!</v>
      </c>
      <c r="H13" s="428" t="s">
        <v>1840</v>
      </c>
      <c r="M13" s="430">
        <v>4.2321999999999997</v>
      </c>
    </row>
    <row r="14" spans="2:17">
      <c r="D14" s="1397" t="s">
        <v>1841</v>
      </c>
      <c r="E14" s="1434" t="e">
        <f>1/C9</f>
        <v>#DIV/0!</v>
      </c>
      <c r="H14" s="428" t="s">
        <v>1842</v>
      </c>
      <c r="M14" s="423">
        <v>1.01916916988504</v>
      </c>
    </row>
    <row r="15" spans="2:17">
      <c r="D15" s="1397" t="s">
        <v>1843</v>
      </c>
      <c r="E15" s="1435">
        <f>ROUND(C6/(1-C7),4)</f>
        <v>0</v>
      </c>
      <c r="H15" s="428" t="s">
        <v>1844</v>
      </c>
      <c r="M15" s="423">
        <f>M13*M14</f>
        <v>4.313327760787466</v>
      </c>
    </row>
    <row r="16" spans="2:17">
      <c r="D16" s="1397" t="s">
        <v>1778</v>
      </c>
      <c r="E16" s="1436" t="e">
        <f>(((1+E15)^E14)*E15)/((1+E15)^E14-1)</f>
        <v>#DIV/0!</v>
      </c>
      <c r="H16" s="428" t="s">
        <v>1845</v>
      </c>
      <c r="M16" s="423">
        <v>0.3</v>
      </c>
    </row>
    <row r="17" spans="2:13">
      <c r="H17" s="428" t="s">
        <v>1846</v>
      </c>
      <c r="M17" s="423">
        <v>0.4</v>
      </c>
    </row>
    <row r="18" spans="2:13">
      <c r="H18" s="428" t="s">
        <v>1847</v>
      </c>
      <c r="M18" s="423">
        <v>0</v>
      </c>
    </row>
    <row r="20" spans="2:13">
      <c r="B20" s="1418" t="s">
        <v>1798</v>
      </c>
      <c r="C20" s="1419" t="e">
        <f>'REN 473'!C21</f>
        <v>#NAME?</v>
      </c>
      <c r="E20" s="431" t="s">
        <v>1848</v>
      </c>
      <c r="F20" s="431"/>
    </row>
    <row r="21" spans="2:13">
      <c r="B21" s="432" t="s">
        <v>1799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1800</v>
      </c>
      <c r="C22" s="433">
        <f>'REN 473'!C23</f>
        <v>0</v>
      </c>
      <c r="E22" s="436" t="s">
        <v>1849</v>
      </c>
      <c r="F22" s="437"/>
    </row>
    <row r="23" spans="2:13">
      <c r="B23" s="1418" t="s">
        <v>1801</v>
      </c>
      <c r="C23" s="1419" t="e">
        <f>'REN 473'!C24</f>
        <v>#REF!</v>
      </c>
      <c r="E23" s="436" t="s">
        <v>1850</v>
      </c>
      <c r="F23" s="437"/>
    </row>
    <row r="24" spans="2:13">
      <c r="E24" s="436" t="s">
        <v>1851</v>
      </c>
      <c r="F24" s="437"/>
    </row>
    <row r="25" spans="2:13">
      <c r="B25" s="1418" t="s">
        <v>1802</v>
      </c>
      <c r="C25" s="1437"/>
      <c r="E25" s="436" t="s">
        <v>1852</v>
      </c>
      <c r="F25" s="437"/>
    </row>
    <row r="26" spans="2:13">
      <c r="B26" s="432" t="s">
        <v>1803</v>
      </c>
      <c r="C26" s="460"/>
      <c r="E26" s="1438" t="s">
        <v>1853</v>
      </c>
      <c r="F26" s="1439"/>
    </row>
    <row r="27" spans="2:13">
      <c r="B27" s="432" t="s">
        <v>1804</v>
      </c>
      <c r="C27" s="460"/>
      <c r="E27" s="436" t="s">
        <v>1854</v>
      </c>
      <c r="F27" s="439"/>
    </row>
    <row r="28" spans="2:13">
      <c r="B28" s="1420" t="s">
        <v>1805</v>
      </c>
      <c r="C28" s="1440"/>
      <c r="E28" s="1438" t="s">
        <v>1855</v>
      </c>
      <c r="F28" s="143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1856</v>
      </c>
      <c r="C2" s="9" t="s">
        <v>37</v>
      </c>
    </row>
    <row r="3" spans="2:3">
      <c r="B3" s="64" t="s">
        <v>1857</v>
      </c>
      <c r="C3" t="e">
        <f t="shared" ref="C3:C66" ca="1" si="0">INDIRECT(B3)</f>
        <v>#REF!</v>
      </c>
    </row>
    <row r="4" spans="2:3">
      <c r="B4" s="64" t="s">
        <v>1858</v>
      </c>
      <c r="C4" t="e">
        <f t="shared" ca="1" si="0"/>
        <v>#REF!</v>
      </c>
    </row>
    <row r="5" spans="2:3">
      <c r="B5" s="64" t="s">
        <v>1859</v>
      </c>
      <c r="C5" t="e">
        <f t="shared" ca="1" si="0"/>
        <v>#REF!</v>
      </c>
    </row>
    <row r="6" spans="2:3">
      <c r="B6" s="64" t="s">
        <v>1860</v>
      </c>
      <c r="C6" t="e">
        <f t="shared" ca="1" si="0"/>
        <v>#REF!</v>
      </c>
    </row>
    <row r="7" spans="2:3">
      <c r="B7" s="64" t="s">
        <v>1861</v>
      </c>
      <c r="C7" t="e">
        <f t="shared" ca="1" si="0"/>
        <v>#REF!</v>
      </c>
    </row>
    <row r="8" spans="2:3">
      <c r="B8" s="64" t="s">
        <v>1862</v>
      </c>
      <c r="C8" t="e">
        <f t="shared" ca="1" si="0"/>
        <v>#REF!</v>
      </c>
    </row>
    <row r="9" spans="2:3">
      <c r="B9" s="64" t="s">
        <v>1863</v>
      </c>
      <c r="C9" t="e">
        <f t="shared" ca="1" si="0"/>
        <v>#REF!</v>
      </c>
    </row>
    <row r="10" spans="2:3">
      <c r="B10" s="64" t="s">
        <v>1864</v>
      </c>
      <c r="C10" t="e">
        <f t="shared" ca="1" si="0"/>
        <v>#REF!</v>
      </c>
    </row>
    <row r="11" spans="2:3">
      <c r="B11" s="64" t="s">
        <v>1865</v>
      </c>
      <c r="C11" t="e">
        <f t="shared" ca="1" si="0"/>
        <v>#REF!</v>
      </c>
    </row>
    <row r="12" spans="2:3">
      <c r="B12" s="63" t="s">
        <v>1866</v>
      </c>
      <c r="C12" t="e">
        <f t="shared" ca="1" si="0"/>
        <v>#REF!</v>
      </c>
    </row>
    <row r="13" spans="2:3">
      <c r="B13" s="63" t="s">
        <v>1867</v>
      </c>
      <c r="C13" t="e">
        <f t="shared" ca="1" si="0"/>
        <v>#REF!</v>
      </c>
    </row>
    <row r="14" spans="2:3">
      <c r="B14" s="63" t="s">
        <v>1868</v>
      </c>
      <c r="C14">
        <f t="shared" ca="1" si="0"/>
        <v>2022</v>
      </c>
    </row>
    <row r="15" spans="2:3">
      <c r="B15" s="63" t="s">
        <v>1869</v>
      </c>
      <c r="C15">
        <f t="shared" ca="1" si="0"/>
        <v>2022</v>
      </c>
    </row>
    <row r="16" spans="2:3">
      <c r="B16" s="63" t="s">
        <v>1870</v>
      </c>
      <c r="C16">
        <f t="shared" ca="1" si="0"/>
        <v>44834</v>
      </c>
    </row>
    <row r="17" spans="2:3">
      <c r="B17" s="63" t="s">
        <v>1871</v>
      </c>
      <c r="C17">
        <f t="shared" ca="1" si="0"/>
        <v>18010.933000000005</v>
      </c>
    </row>
    <row r="18" spans="2:3">
      <c r="B18" s="63" t="s">
        <v>1872</v>
      </c>
      <c r="C18">
        <f t="shared" ca="1" si="0"/>
        <v>0</v>
      </c>
    </row>
    <row r="19" spans="2:3">
      <c r="B19" s="63" t="s">
        <v>1873</v>
      </c>
      <c r="C19">
        <f t="shared" ca="1" si="0"/>
        <v>6753.3220000000001</v>
      </c>
    </row>
    <row r="20" spans="2:3">
      <c r="B20" s="63" t="s">
        <v>1874</v>
      </c>
      <c r="C20" t="e">
        <f t="shared" ca="1" si="0"/>
        <v>#VALUE!</v>
      </c>
    </row>
    <row r="21" spans="2:3">
      <c r="B21" s="63" t="s">
        <v>1875</v>
      </c>
      <c r="C21">
        <f t="shared" ca="1" si="0"/>
        <v>5373</v>
      </c>
    </row>
    <row r="22" spans="2:3">
      <c r="B22" s="63" t="s">
        <v>1066</v>
      </c>
      <c r="C22">
        <f t="shared" ca="1" si="0"/>
        <v>232</v>
      </c>
    </row>
    <row r="23" spans="2:3">
      <c r="B23" s="63" t="s">
        <v>1876</v>
      </c>
      <c r="C23">
        <f t="shared" ca="1" si="0"/>
        <v>5.1311812530391798E-2</v>
      </c>
    </row>
    <row r="24" spans="2:3">
      <c r="B24" s="63" t="s">
        <v>1877</v>
      </c>
      <c r="C24" t="e">
        <f t="shared" ca="1" si="0"/>
        <v>#REF!</v>
      </c>
    </row>
    <row r="25" spans="2:3">
      <c r="B25" s="63" t="s">
        <v>1878</v>
      </c>
      <c r="C25">
        <f t="shared" ca="1" si="0"/>
        <v>0</v>
      </c>
    </row>
    <row r="26" spans="2:3">
      <c r="B26" s="63" t="s">
        <v>1879</v>
      </c>
      <c r="C26">
        <f t="shared" ca="1" si="0"/>
        <v>0</v>
      </c>
    </row>
    <row r="27" spans="2:3">
      <c r="B27" s="63" t="s">
        <v>1880</v>
      </c>
      <c r="C27" t="e">
        <f t="shared" ca="1" si="0"/>
        <v>#REF!</v>
      </c>
    </row>
    <row r="28" spans="2:3">
      <c r="B28" s="63" t="s">
        <v>1881</v>
      </c>
      <c r="C28" t="e">
        <f t="shared" ca="1" si="0"/>
        <v>#REF!</v>
      </c>
    </row>
    <row r="29" spans="2:3">
      <c r="B29" s="63" t="s">
        <v>1882</v>
      </c>
      <c r="C29">
        <f t="shared" ca="1" si="0"/>
        <v>0</v>
      </c>
    </row>
    <row r="30" spans="2:3">
      <c r="B30" s="63" t="s">
        <v>1883</v>
      </c>
      <c r="C30">
        <f t="shared" ca="1" si="0"/>
        <v>1329</v>
      </c>
    </row>
    <row r="31" spans="2:3">
      <c r="B31" s="63" t="s">
        <v>1884</v>
      </c>
      <c r="C31">
        <f t="shared" ca="1" si="0"/>
        <v>44834</v>
      </c>
    </row>
    <row r="32" spans="2:3">
      <c r="B32" s="63" t="s">
        <v>1885</v>
      </c>
      <c r="C32" t="e">
        <f t="shared" ca="1" si="0"/>
        <v>#REF!</v>
      </c>
    </row>
    <row r="33" spans="2:3">
      <c r="B33" s="63" t="s">
        <v>1886</v>
      </c>
      <c r="C33">
        <f t="shared" ca="1" si="0"/>
        <v>0.25042628353552498</v>
      </c>
    </row>
    <row r="34" spans="2:3">
      <c r="B34" s="63" t="s">
        <v>1887</v>
      </c>
      <c r="C34" t="e">
        <f t="shared" ca="1" si="0"/>
        <v>#REF!</v>
      </c>
    </row>
    <row r="35" spans="2:3">
      <c r="B35" s="63" t="s">
        <v>1888</v>
      </c>
      <c r="C35">
        <f t="shared" ca="1" si="0"/>
        <v>0</v>
      </c>
    </row>
    <row r="36" spans="2:3">
      <c r="B36" s="63" t="s">
        <v>1889</v>
      </c>
      <c r="C36" t="e">
        <f t="shared" ca="1" si="0"/>
        <v>#REF!</v>
      </c>
    </row>
    <row r="37" spans="2:3">
      <c r="B37" s="63" t="s">
        <v>1890</v>
      </c>
      <c r="C37" t="e">
        <f t="shared" ca="1" si="0"/>
        <v>#REF!</v>
      </c>
    </row>
    <row r="38" spans="2:3">
      <c r="B38" s="64" t="s">
        <v>1891</v>
      </c>
      <c r="C38" t="e">
        <f t="shared" ca="1" si="0"/>
        <v>#REF!</v>
      </c>
    </row>
    <row r="39" spans="2:3">
      <c r="B39" s="63" t="s">
        <v>1892</v>
      </c>
      <c r="C39" t="e">
        <f t="shared" ca="1" si="0"/>
        <v>#REF!</v>
      </c>
    </row>
    <row r="40" spans="2:3">
      <c r="B40" s="63" t="s">
        <v>1893</v>
      </c>
      <c r="C40" t="e">
        <f t="shared" ca="1" si="0"/>
        <v>#REF!</v>
      </c>
    </row>
    <row r="41" spans="2:3">
      <c r="B41" s="63" t="s">
        <v>1894</v>
      </c>
      <c r="C41">
        <f t="shared" ca="1" si="0"/>
        <v>-0.11820791344066306</v>
      </c>
    </row>
    <row r="42" spans="2:3">
      <c r="B42" s="63" t="s">
        <v>1895</v>
      </c>
      <c r="C42">
        <f t="shared" ca="1" si="0"/>
        <v>-0.138934108301207</v>
      </c>
    </row>
    <row r="43" spans="2:3">
      <c r="B43" s="63" t="s">
        <v>1896</v>
      </c>
      <c r="C43">
        <f t="shared" ca="1" si="0"/>
        <v>-8.1704425421003979E-2</v>
      </c>
    </row>
    <row r="44" spans="2:3">
      <c r="B44" s="63" t="s">
        <v>1897</v>
      </c>
      <c r="C44" t="e">
        <f t="shared" ca="1" si="0"/>
        <v>#REF!</v>
      </c>
    </row>
    <row r="45" spans="2:3">
      <c r="B45" s="63" t="s">
        <v>1898</v>
      </c>
      <c r="C45" t="e">
        <f t="shared" ca="1" si="0"/>
        <v>#REF!</v>
      </c>
    </row>
    <row r="46" spans="2:3">
      <c r="B46" s="63" t="s">
        <v>1899</v>
      </c>
      <c r="C46" t="e">
        <f t="shared" ca="1" si="0"/>
        <v>#REF!</v>
      </c>
    </row>
    <row r="47" spans="2:3">
      <c r="B47" s="63" t="s">
        <v>1900</v>
      </c>
      <c r="C47">
        <f t="shared" ca="1" si="0"/>
        <v>-0.11820791344066306</v>
      </c>
    </row>
    <row r="48" spans="2:3">
      <c r="B48" s="63" t="s">
        <v>1901</v>
      </c>
      <c r="C48">
        <f t="shared" ca="1" si="0"/>
        <v>0</v>
      </c>
    </row>
    <row r="49" spans="2:3">
      <c r="B49" s="63" t="s">
        <v>1902</v>
      </c>
      <c r="C49">
        <f t="shared" ca="1" si="0"/>
        <v>18985.092507623318</v>
      </c>
    </row>
    <row r="50" spans="2:3">
      <c r="B50" s="63" t="s">
        <v>1903</v>
      </c>
      <c r="C50">
        <f t="shared" ca="1" si="0"/>
        <v>0.1013</v>
      </c>
    </row>
    <row r="51" spans="2:3">
      <c r="B51" s="63" t="s">
        <v>1904</v>
      </c>
      <c r="C51">
        <f t="shared" ca="1" si="0"/>
        <v>18010.933000000005</v>
      </c>
    </row>
    <row r="52" spans="2:3">
      <c r="B52" s="63" t="s">
        <v>1905</v>
      </c>
      <c r="C52">
        <f t="shared" ca="1" si="0"/>
        <v>18010.933000000005</v>
      </c>
    </row>
    <row r="53" spans="2:3">
      <c r="B53" s="63" t="s">
        <v>1906</v>
      </c>
      <c r="C53">
        <f t="shared" ca="1" si="0"/>
        <v>0</v>
      </c>
    </row>
    <row r="54" spans="2:3">
      <c r="B54" s="63" t="s">
        <v>1907</v>
      </c>
      <c r="C54">
        <f t="shared" ca="1" si="0"/>
        <v>0.33409160171292318</v>
      </c>
    </row>
    <row r="55" spans="2:3">
      <c r="B55" s="63" t="s">
        <v>1908</v>
      </c>
      <c r="C55">
        <f t="shared" ca="1" si="0"/>
        <v>0</v>
      </c>
    </row>
    <row r="56" spans="2:3">
      <c r="B56" s="63" t="s">
        <v>1909</v>
      </c>
      <c r="C56">
        <f t="shared" ca="1" si="0"/>
        <v>0</v>
      </c>
    </row>
    <row r="57" spans="2:3">
      <c r="B57" s="63" t="s">
        <v>1910</v>
      </c>
      <c r="C57">
        <f t="shared" ca="1" si="0"/>
        <v>0.25042181304037453</v>
      </c>
    </row>
    <row r="58" spans="2:3">
      <c r="B58" s="63" t="s">
        <v>1911</v>
      </c>
      <c r="C58">
        <f t="shared" ca="1" si="0"/>
        <v>8.727291292620043E-2</v>
      </c>
    </row>
    <row r="59" spans="2:3">
      <c r="B59" s="63" t="s">
        <v>1912</v>
      </c>
      <c r="C59">
        <f t="shared" ca="1" si="0"/>
        <v>0</v>
      </c>
    </row>
    <row r="60" spans="2:3">
      <c r="B60" s="63" t="s">
        <v>1913</v>
      </c>
      <c r="C60" t="e">
        <f t="shared" ca="1" si="0"/>
        <v>#REF!</v>
      </c>
    </row>
    <row r="61" spans="2:3">
      <c r="B61" s="63" t="s">
        <v>1914</v>
      </c>
      <c r="C61">
        <f t="shared" ca="1" si="0"/>
        <v>-0.17011067586984663</v>
      </c>
    </row>
    <row r="62" spans="2:3">
      <c r="B62" s="63" t="s">
        <v>1915</v>
      </c>
      <c r="C62">
        <f t="shared" ca="1" si="0"/>
        <v>-0.10630000000000001</v>
      </c>
    </row>
    <row r="63" spans="2:3">
      <c r="B63" s="63" t="s">
        <v>1916</v>
      </c>
      <c r="C63">
        <f t="shared" ca="1" si="0"/>
        <v>7.0931497626254267E-2</v>
      </c>
    </row>
    <row r="64" spans="2:3">
      <c r="B64" s="63" t="s">
        <v>1917</v>
      </c>
      <c r="C64" t="e">
        <f t="shared" ca="1" si="0"/>
        <v>#REF!</v>
      </c>
    </row>
    <row r="65" spans="2:3">
      <c r="B65" s="63" t="s">
        <v>1918</v>
      </c>
      <c r="C65">
        <f t="shared" ca="1" si="0"/>
        <v>-9.8707510663308101E-2</v>
      </c>
    </row>
    <row r="66" spans="2:3">
      <c r="B66" s="63" t="s">
        <v>1919</v>
      </c>
      <c r="C66">
        <f t="shared" ca="1" si="0"/>
        <v>-7.5810949885504516E-3</v>
      </c>
    </row>
    <row r="67" spans="2:3">
      <c r="B67" s="63" t="s">
        <v>1920</v>
      </c>
      <c r="C67">
        <f t="shared" ref="C67:C130" ca="1" si="1">INDIRECT(B67)</f>
        <v>4.7166758028412679E-4</v>
      </c>
    </row>
    <row r="68" spans="2:3">
      <c r="B68" s="63" t="s">
        <v>1921</v>
      </c>
      <c r="C68">
        <f t="shared" ca="1" si="1"/>
        <v>-0.2195</v>
      </c>
    </row>
    <row r="69" spans="2:3">
      <c r="B69" s="63" t="s">
        <v>1922</v>
      </c>
      <c r="C69">
        <f t="shared" ca="1" si="1"/>
        <v>-113795.45663428237</v>
      </c>
    </row>
    <row r="70" spans="2:3">
      <c r="B70" s="63" t="s">
        <v>1923</v>
      </c>
      <c r="C70" t="str">
        <f t="shared" ca="1" si="1"/>
        <v>Cooperativa de Eletrificação Lauro Muller</v>
      </c>
    </row>
    <row r="71" spans="2:3">
      <c r="B71" s="63" t="s">
        <v>1924</v>
      </c>
      <c r="C71" t="e">
        <f t="shared" ca="1" si="1"/>
        <v>#REF!</v>
      </c>
    </row>
    <row r="72" spans="2:3">
      <c r="B72" s="63" t="s">
        <v>1925</v>
      </c>
      <c r="C72" t="str">
        <f t="shared" ca="1" si="1"/>
        <v>17/2008</v>
      </c>
    </row>
    <row r="73" spans="2:3">
      <c r="B73" s="63" t="s">
        <v>1926</v>
      </c>
      <c r="C73">
        <f t="shared" ca="1" si="1"/>
        <v>0</v>
      </c>
    </row>
    <row r="74" spans="2:3">
      <c r="B74" s="63" t="s">
        <v>1927</v>
      </c>
      <c r="C74">
        <f t="shared" ca="1" si="1"/>
        <v>0.7219855317259698</v>
      </c>
    </row>
    <row r="75" spans="2:3">
      <c r="B75" s="63" t="s">
        <v>1928</v>
      </c>
      <c r="C75">
        <f t="shared" ca="1" si="1"/>
        <v>0.27801446827403015</v>
      </c>
    </row>
    <row r="76" spans="2:3">
      <c r="B76" s="63" t="s">
        <v>1929</v>
      </c>
      <c r="C76">
        <f t="shared" ca="1" si="1"/>
        <v>5.1311812530391798E-2</v>
      </c>
    </row>
    <row r="77" spans="2:3">
      <c r="B77" s="63" t="s">
        <v>1930</v>
      </c>
      <c r="C77">
        <f t="shared" ca="1" si="1"/>
        <v>4.4704951504609166E-6</v>
      </c>
    </row>
    <row r="78" spans="2:3">
      <c r="B78" s="63" t="s">
        <v>1931</v>
      </c>
      <c r="C78">
        <f t="shared" ca="1" si="1"/>
        <v>974.15950762331363</v>
      </c>
    </row>
    <row r="79" spans="2:3">
      <c r="B79" s="63" t="s">
        <v>1932</v>
      </c>
      <c r="C79">
        <f t="shared" ca="1" si="1"/>
        <v>0</v>
      </c>
    </row>
    <row r="80" spans="2:3">
      <c r="B80" s="63" t="s">
        <v>1933</v>
      </c>
      <c r="C80">
        <f t="shared" ca="1" si="1"/>
        <v>261031.8883470876</v>
      </c>
    </row>
    <row r="81" spans="2:3">
      <c r="B81" s="63" t="s">
        <v>1934</v>
      </c>
      <c r="C81" t="e">
        <f t="shared" ca="1" si="1"/>
        <v>#REF!</v>
      </c>
    </row>
    <row r="82" spans="2:3">
      <c r="B82" s="64" t="s">
        <v>1935</v>
      </c>
      <c r="C82">
        <f t="shared" ca="1" si="1"/>
        <v>266.3712037912012</v>
      </c>
    </row>
    <row r="83" spans="2:3">
      <c r="B83" s="63" t="s">
        <v>1936</v>
      </c>
      <c r="C83">
        <f t="shared" ca="1" si="1"/>
        <v>11631707.531150002</v>
      </c>
    </row>
    <row r="84" spans="2:3">
      <c r="B84" s="63" t="s">
        <v>1937</v>
      </c>
      <c r="C84">
        <f t="shared" ca="1" si="1"/>
        <v>0</v>
      </c>
    </row>
    <row r="85" spans="2:3">
      <c r="B85" s="63" t="s">
        <v>1938</v>
      </c>
      <c r="C85">
        <f t="shared" ca="1" si="1"/>
        <v>0</v>
      </c>
    </row>
    <row r="86" spans="2:3">
      <c r="B86" s="63" t="s">
        <v>1939</v>
      </c>
      <c r="C86" t="str">
        <f t="shared" ca="1" si="1"/>
        <v>setembro de 2021 a agosto de 2022</v>
      </c>
    </row>
    <row r="87" spans="2:3">
      <c r="B87" s="63" t="s">
        <v>1940</v>
      </c>
      <c r="C87">
        <f t="shared" ca="1" si="1"/>
        <v>0</v>
      </c>
    </row>
    <row r="88" spans="2:3">
      <c r="B88" s="63" t="s">
        <v>1941</v>
      </c>
      <c r="C88" t="str">
        <f t="shared" ca="1" si="1"/>
        <v>Coopermila</v>
      </c>
    </row>
    <row r="89" spans="2:3">
      <c r="B89" s="63" t="s">
        <v>1942</v>
      </c>
      <c r="C89">
        <f t="shared" ca="1" si="1"/>
        <v>0</v>
      </c>
    </row>
    <row r="90" spans="2:3">
      <c r="B90" s="63" t="s">
        <v>1943</v>
      </c>
      <c r="C90" t="e">
        <f t="shared" ca="1" si="1"/>
        <v>#REF!</v>
      </c>
    </row>
    <row r="91" spans="2:3">
      <c r="B91" s="64" t="s">
        <v>1944</v>
      </c>
      <c r="C91">
        <f t="shared" ca="1" si="1"/>
        <v>1881904.5259199997</v>
      </c>
    </row>
    <row r="92" spans="2:3">
      <c r="B92" s="64" t="s">
        <v>1945</v>
      </c>
      <c r="C92">
        <f t="shared" ca="1" si="1"/>
        <v>-0.35320000000000001</v>
      </c>
    </row>
    <row r="93" spans="2:3">
      <c r="B93" s="64" t="s">
        <v>1946</v>
      </c>
      <c r="C93">
        <f t="shared" ca="1" si="1"/>
        <v>0.70179999999999998</v>
      </c>
    </row>
    <row r="94" spans="2:3">
      <c r="B94" s="64" t="s">
        <v>1947</v>
      </c>
      <c r="C94">
        <f t="shared" ca="1" si="1"/>
        <v>2.8999999999999998E-3</v>
      </c>
    </row>
    <row r="95" spans="2:3">
      <c r="B95" s="64" t="s">
        <v>1948</v>
      </c>
      <c r="C95" t="e">
        <f t="shared" ca="1" si="1"/>
        <v>#VALUE!</v>
      </c>
    </row>
    <row r="96" spans="2:3">
      <c r="B96" s="64" t="s">
        <v>1949</v>
      </c>
      <c r="C96" t="e">
        <f t="shared" ca="1" si="1"/>
        <v>#VALUE!</v>
      </c>
    </row>
    <row r="97" spans="2:3">
      <c r="B97" s="64" t="s">
        <v>1950</v>
      </c>
      <c r="C97" t="e">
        <f t="shared" ca="1" si="1"/>
        <v>#VALUE!</v>
      </c>
    </row>
    <row r="98" spans="2:3">
      <c r="B98" s="64" t="s">
        <v>1951</v>
      </c>
      <c r="C98" t="e">
        <f t="shared" ca="1" si="1"/>
        <v>#VALUE!</v>
      </c>
    </row>
    <row r="99" spans="2:3">
      <c r="B99" s="63" t="s">
        <v>1952</v>
      </c>
      <c r="C99" t="e">
        <f t="shared" ca="1" si="1"/>
        <v>#VALUE!</v>
      </c>
    </row>
    <row r="100" spans="2:3">
      <c r="B100" s="64" t="s">
        <v>1953</v>
      </c>
      <c r="C100" t="e">
        <f t="shared" ca="1" si="1"/>
        <v>#VALUE!</v>
      </c>
    </row>
    <row r="101" spans="2:3">
      <c r="B101" s="63" t="s">
        <v>1954</v>
      </c>
      <c r="C101" t="e">
        <f t="shared" ca="1" si="1"/>
        <v>#VALUE!</v>
      </c>
    </row>
    <row r="102" spans="2:3">
      <c r="B102" s="63" t="s">
        <v>1955</v>
      </c>
      <c r="C102" t="e">
        <f t="shared" ca="1" si="1"/>
        <v>#VALUE!</v>
      </c>
    </row>
    <row r="103" spans="2:3">
      <c r="B103" s="63" t="s">
        <v>1956</v>
      </c>
      <c r="C103" t="e">
        <f t="shared" ca="1" si="1"/>
        <v>#VALUE!</v>
      </c>
    </row>
    <row r="104" spans="2:3">
      <c r="B104" s="63" t="s">
        <v>1957</v>
      </c>
      <c r="C104" t="e">
        <f t="shared" ca="1" si="1"/>
        <v>#VALUE!</v>
      </c>
    </row>
    <row r="105" spans="2:3">
      <c r="B105" s="63" t="s">
        <v>1958</v>
      </c>
      <c r="C105" t="e">
        <f t="shared" ca="1" si="1"/>
        <v>#VALUE!</v>
      </c>
    </row>
    <row r="106" spans="2:3">
      <c r="B106" s="63" t="s">
        <v>1959</v>
      </c>
      <c r="C106" t="e">
        <f t="shared" ca="1" si="1"/>
        <v>#VALUE!</v>
      </c>
    </row>
    <row r="107" spans="2:3">
      <c r="B107" s="63" t="s">
        <v>1960</v>
      </c>
      <c r="C107" t="e">
        <f t="shared" ca="1" si="1"/>
        <v>#VALUE!</v>
      </c>
    </row>
    <row r="108" spans="2:3">
      <c r="B108" s="63" t="s">
        <v>1961</v>
      </c>
      <c r="C108" t="e">
        <f t="shared" ca="1" si="1"/>
        <v>#REF!</v>
      </c>
    </row>
    <row r="109" spans="2:3">
      <c r="B109" s="63" t="s">
        <v>1962</v>
      </c>
      <c r="C109" t="e">
        <f t="shared" ca="1" si="1"/>
        <v>#REF!</v>
      </c>
    </row>
    <row r="110" spans="2:3">
      <c r="B110" s="63" t="s">
        <v>1963</v>
      </c>
      <c r="C110" t="e">
        <f t="shared" ca="1" si="1"/>
        <v>#REF!</v>
      </c>
    </row>
    <row r="111" spans="2:3">
      <c r="B111" s="63" t="s">
        <v>1964</v>
      </c>
      <c r="C111" t="e">
        <f t="shared" ca="1" si="1"/>
        <v>#REF!</v>
      </c>
    </row>
    <row r="112" spans="2:3">
      <c r="B112" s="63" t="s">
        <v>1965</v>
      </c>
      <c r="C112" t="e">
        <f t="shared" ca="1" si="1"/>
        <v>#REF!</v>
      </c>
    </row>
    <row r="113" spans="2:3">
      <c r="B113" s="63" t="s">
        <v>1966</v>
      </c>
      <c r="C113" t="e">
        <f t="shared" ca="1" si="1"/>
        <v>#REF!</v>
      </c>
    </row>
    <row r="114" spans="2:3">
      <c r="B114" s="63" t="s">
        <v>1967</v>
      </c>
      <c r="C114" t="e">
        <f t="shared" ca="1" si="1"/>
        <v>#REF!</v>
      </c>
    </row>
    <row r="115" spans="2:3">
      <c r="B115" s="63" t="s">
        <v>1968</v>
      </c>
      <c r="C115">
        <f t="shared" ca="1" si="1"/>
        <v>0</v>
      </c>
    </row>
    <row r="116" spans="2:3">
      <c r="B116" s="64" t="s">
        <v>1969</v>
      </c>
      <c r="C116">
        <f t="shared" ca="1" si="1"/>
        <v>995273.42836156057</v>
      </c>
    </row>
    <row r="117" spans="2:3">
      <c r="B117" s="63" t="s">
        <v>1970</v>
      </c>
      <c r="C117">
        <f t="shared" ca="1" si="1"/>
        <v>0</v>
      </c>
    </row>
    <row r="118" spans="2:3">
      <c r="B118" s="63" t="s">
        <v>1971</v>
      </c>
      <c r="C118">
        <f t="shared" ca="1" si="1"/>
        <v>0</v>
      </c>
    </row>
    <row r="119" spans="2:3">
      <c r="B119" s="64" t="s">
        <v>1972</v>
      </c>
      <c r="C119">
        <f t="shared" ca="1" si="1"/>
        <v>0</v>
      </c>
    </row>
    <row r="120" spans="2:3">
      <c r="B120" s="63" t="s">
        <v>1973</v>
      </c>
      <c r="C120">
        <f t="shared" ca="1" si="1"/>
        <v>0</v>
      </c>
    </row>
    <row r="121" spans="2:3">
      <c r="B121" s="63" t="s">
        <v>1974</v>
      </c>
      <c r="C121">
        <f t="shared" ca="1" si="1"/>
        <v>0</v>
      </c>
    </row>
    <row r="122" spans="2:3">
      <c r="B122" s="64" t="s">
        <v>1975</v>
      </c>
      <c r="C122">
        <f t="shared" ca="1" si="1"/>
        <v>0</v>
      </c>
    </row>
    <row r="123" spans="2:3">
      <c r="B123" s="63" t="s">
        <v>1976</v>
      </c>
      <c r="C123">
        <f t="shared" ca="1" si="1"/>
        <v>0</v>
      </c>
    </row>
    <row r="124" spans="2:3">
      <c r="B124" s="63" t="s">
        <v>1977</v>
      </c>
      <c r="C124">
        <f t="shared" ca="1" si="1"/>
        <v>0</v>
      </c>
    </row>
    <row r="125" spans="2:3">
      <c r="B125" s="64" t="s">
        <v>1978</v>
      </c>
      <c r="C125">
        <f t="shared" ca="1" si="1"/>
        <v>0</v>
      </c>
    </row>
    <row r="126" spans="2:3">
      <c r="B126" s="63" t="s">
        <v>1979</v>
      </c>
      <c r="C126">
        <f t="shared" ca="1" si="1"/>
        <v>167588.9053746892</v>
      </c>
    </row>
    <row r="127" spans="2:3">
      <c r="B127" s="63" t="s">
        <v>1980</v>
      </c>
      <c r="C127">
        <f t="shared" ca="1" si="1"/>
        <v>0</v>
      </c>
    </row>
    <row r="128" spans="2:3">
      <c r="B128" s="64" t="s">
        <v>1981</v>
      </c>
      <c r="C128">
        <f t="shared" ca="1" si="1"/>
        <v>12700.855155608337</v>
      </c>
    </row>
    <row r="129" spans="2:3">
      <c r="B129" s="63" t="s">
        <v>1982</v>
      </c>
      <c r="C129">
        <f t="shared" ca="1" si="1"/>
        <v>18010.933000000005</v>
      </c>
    </row>
    <row r="130" spans="2:3">
      <c r="B130" s="63" t="s">
        <v>1983</v>
      </c>
      <c r="C130">
        <f t="shared" ca="1" si="1"/>
        <v>11631707.531150002</v>
      </c>
    </row>
    <row r="131" spans="2:3">
      <c r="B131" s="64" t="s">
        <v>1984</v>
      </c>
      <c r="C131" t="str">
        <f t="shared" ref="C131:C194" ca="1" si="2">INDIRECT(B131)</f>
        <v>Convencional</v>
      </c>
    </row>
    <row r="132" spans="2:3">
      <c r="B132" s="63" t="s">
        <v>1985</v>
      </c>
      <c r="C132" t="e">
        <f t="shared" ca="1" si="2"/>
        <v>#VALUE!</v>
      </c>
    </row>
    <row r="133" spans="2:3">
      <c r="B133" s="64" t="s">
        <v>1986</v>
      </c>
      <c r="C133" t="e">
        <f t="shared" ca="1" si="2"/>
        <v>#REF!</v>
      </c>
    </row>
    <row r="134" spans="2:3">
      <c r="B134" s="63" t="s">
        <v>1987</v>
      </c>
      <c r="C134" t="e">
        <f t="shared" ca="1" si="2"/>
        <v>#REF!</v>
      </c>
    </row>
    <row r="135" spans="2:3">
      <c r="B135" s="63" t="s">
        <v>1988</v>
      </c>
      <c r="C135">
        <f t="shared" ca="1" si="2"/>
        <v>44774</v>
      </c>
    </row>
    <row r="136" spans="2:3">
      <c r="B136" s="63" t="s">
        <v>1989</v>
      </c>
      <c r="C136">
        <f t="shared" ca="1" si="2"/>
        <v>44440</v>
      </c>
    </row>
    <row r="137" spans="2:3">
      <c r="B137" s="63" t="s">
        <v>1990</v>
      </c>
      <c r="C137" t="e">
        <f t="shared" ca="1" si="2"/>
        <v>#REF!</v>
      </c>
    </row>
    <row r="138" spans="2:3">
      <c r="B138" s="63" t="s">
        <v>1991</v>
      </c>
      <c r="C138" t="e">
        <f t="shared" ca="1" si="2"/>
        <v>#REF!</v>
      </c>
    </row>
    <row r="139" spans="2:3">
      <c r="B139" s="63" t="s">
        <v>1992</v>
      </c>
      <c r="C139" t="e">
        <f t="shared" ca="1" si="2"/>
        <v>#REF!</v>
      </c>
    </row>
    <row r="140" spans="2:3">
      <c r="B140" s="63" t="s">
        <v>1993</v>
      </c>
      <c r="C140">
        <f t="shared" ca="1" si="2"/>
        <v>0</v>
      </c>
    </row>
    <row r="141" spans="2:3">
      <c r="B141" s="63" t="s">
        <v>1994</v>
      </c>
      <c r="C141" t="e">
        <f t="shared" ca="1" si="2"/>
        <v>#VALUE!</v>
      </c>
    </row>
    <row r="142" spans="2:3">
      <c r="B142" s="63" t="s">
        <v>1995</v>
      </c>
      <c r="C142" t="e">
        <f t="shared" ca="1" si="2"/>
        <v>#VALUE!</v>
      </c>
    </row>
    <row r="143" spans="2:3">
      <c r="B143" s="63" t="s">
        <v>1996</v>
      </c>
      <c r="C143" t="e">
        <f t="shared" ca="1" si="2"/>
        <v>#VALUE!</v>
      </c>
    </row>
    <row r="144" spans="2:3">
      <c r="B144" s="63" t="s">
        <v>1997</v>
      </c>
      <c r="C144" t="e">
        <f t="shared" ca="1" si="2"/>
        <v>#VALUE!</v>
      </c>
    </row>
    <row r="145" spans="2:3">
      <c r="B145" s="63" t="s">
        <v>1998</v>
      </c>
      <c r="C145" t="e">
        <f t="shared" ca="1" si="2"/>
        <v>#VALUE!</v>
      </c>
    </row>
    <row r="146" spans="2:3">
      <c r="B146" s="64" t="s">
        <v>1999</v>
      </c>
      <c r="C146" t="e">
        <f t="shared" ca="1" si="2"/>
        <v>#REF!</v>
      </c>
    </row>
    <row r="147" spans="2:3">
      <c r="B147" s="64" t="s">
        <v>2000</v>
      </c>
      <c r="C147" t="e">
        <f t="shared" ca="1" si="2"/>
        <v>#REF!</v>
      </c>
    </row>
    <row r="148" spans="2:3">
      <c r="B148" s="64" t="s">
        <v>2001</v>
      </c>
      <c r="C148" t="e">
        <f t="shared" ca="1" si="2"/>
        <v>#REF!</v>
      </c>
    </row>
    <row r="149" spans="2:3">
      <c r="B149" s="64" t="s">
        <v>2002</v>
      </c>
      <c r="C149" t="e">
        <f t="shared" ca="1" si="2"/>
        <v>#REF!</v>
      </c>
    </row>
    <row r="150" spans="2:3">
      <c r="B150" s="64" t="s">
        <v>2003</v>
      </c>
      <c r="C150" t="e">
        <f t="shared" ca="1" si="2"/>
        <v>#REF!</v>
      </c>
    </row>
    <row r="151" spans="2:3">
      <c r="B151" s="64" t="s">
        <v>2004</v>
      </c>
      <c r="C151" t="e">
        <f t="shared" ca="1" si="2"/>
        <v>#REF!</v>
      </c>
    </row>
    <row r="152" spans="2:3">
      <c r="B152" s="64" t="s">
        <v>2005</v>
      </c>
      <c r="C152" t="e">
        <f t="shared" ca="1" si="2"/>
        <v>#REF!</v>
      </c>
    </row>
    <row r="153" spans="2:3">
      <c r="B153" s="64" t="s">
        <v>2006</v>
      </c>
      <c r="C153" t="e">
        <f t="shared" ca="1" si="2"/>
        <v>#REF!</v>
      </c>
    </row>
    <row r="154" spans="2:3">
      <c r="B154" s="63" t="s">
        <v>2007</v>
      </c>
      <c r="C154" t="e">
        <f t="shared" ca="1" si="2"/>
        <v>#VALUE!</v>
      </c>
    </row>
    <row r="155" spans="2:3">
      <c r="B155" s="63" t="s">
        <v>2008</v>
      </c>
      <c r="C155" t="e">
        <f t="shared" ca="1" si="2"/>
        <v>#VALUE!</v>
      </c>
    </row>
    <row r="156" spans="2:3">
      <c r="B156" s="63" t="s">
        <v>2009</v>
      </c>
      <c r="C156" t="e">
        <f t="shared" ca="1" si="2"/>
        <v>#VALUE!</v>
      </c>
    </row>
    <row r="157" spans="2:3">
      <c r="B157" s="63" t="s">
        <v>2010</v>
      </c>
      <c r="C157" t="e">
        <f t="shared" ca="1" si="2"/>
        <v>#VALUE!</v>
      </c>
    </row>
    <row r="158" spans="2:3">
      <c r="B158" s="63" t="s">
        <v>2011</v>
      </c>
      <c r="C158" t="e">
        <f t="shared" ca="1" si="2"/>
        <v>#REF!</v>
      </c>
    </row>
    <row r="159" spans="2:3">
      <c r="B159" s="63" t="s">
        <v>2012</v>
      </c>
      <c r="C159" t="e">
        <f t="shared" ca="1" si="2"/>
        <v>#VALUE!</v>
      </c>
    </row>
    <row r="160" spans="2:3">
      <c r="B160" s="63" t="s">
        <v>2013</v>
      </c>
      <c r="C160" t="e">
        <f t="shared" ca="1" si="2"/>
        <v>#VALUE!</v>
      </c>
    </row>
    <row r="161" spans="2:3">
      <c r="B161" s="63" t="s">
        <v>2014</v>
      </c>
      <c r="C161" t="e">
        <f t="shared" ca="1" si="2"/>
        <v>#VALUE!</v>
      </c>
    </row>
    <row r="162" spans="2:3">
      <c r="B162" s="63" t="s">
        <v>2015</v>
      </c>
      <c r="C162" t="e">
        <f t="shared" ca="1" si="2"/>
        <v>#VALUE!</v>
      </c>
    </row>
    <row r="163" spans="2:3">
      <c r="B163" s="63" t="s">
        <v>2016</v>
      </c>
      <c r="C163" t="e">
        <f t="shared" ca="1" si="2"/>
        <v>#VALUE!</v>
      </c>
    </row>
    <row r="164" spans="2:3">
      <c r="B164" s="63" t="s">
        <v>2017</v>
      </c>
      <c r="C164" t="e">
        <f t="shared" ca="1" si="2"/>
        <v>#VALUE!</v>
      </c>
    </row>
    <row r="165" spans="2:3">
      <c r="B165" s="63" t="s">
        <v>2018</v>
      </c>
      <c r="C165" t="e">
        <f t="shared" ca="1" si="2"/>
        <v>#VALUE!</v>
      </c>
    </row>
    <row r="166" spans="2:3">
      <c r="B166" s="63" t="s">
        <v>2019</v>
      </c>
      <c r="C166" t="e">
        <f t="shared" ca="1" si="2"/>
        <v>#VALUE!</v>
      </c>
    </row>
    <row r="167" spans="2:3">
      <c r="B167" s="63" t="s">
        <v>2020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192</vt:i4>
      </vt:variant>
    </vt:vector>
  </HeadingPairs>
  <TitlesOfParts>
    <vt:vector size="227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CUSD</vt:lpstr>
      <vt:lpstr>Rede Básica + Ajuste</vt:lpstr>
      <vt:lpstr>Conexão 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lnktxtpercESSERR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2022-09-27T18:12:59Z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